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0" ContentType="application/binary"/>
  <Override PartName="/xl/commentsmeta5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G:\Drives compartilhados\COMPRAS\COMPRAS 2025\Pregão\90058.2025 - Limpeza\88.0 - Ajustes pós projur\Orç\Publicar\"/>
    </mc:Choice>
  </mc:AlternateContent>
  <xr:revisionPtr revIDLastSave="0" documentId="13_ncr:1_{A7CE15D5-8269-43D7-A1AC-92531DA41808}" xr6:coauthVersionLast="47" xr6:coauthVersionMax="47" xr10:uidLastSave="{00000000-0000-0000-0000-000000000000}"/>
  <bookViews>
    <workbookView xWindow="-108" yWindow="-108" windowWidth="23256" windowHeight="13176" tabRatio="663" activeTab="7" xr2:uid="{00000000-000D-0000-FFFF-FFFF00000000}"/>
  </bookViews>
  <sheets>
    <sheet name="RESUMO" sheetId="2" r:id="rId1"/>
    <sheet name="Custos por posto" sheetId="3" r:id="rId2"/>
    <sheet name="Cálculo custoM²" sheetId="4" r:id="rId3"/>
    <sheet name="EQU" sheetId="5" r:id="rId4"/>
    <sheet name="UNI.EPI" sheetId="6" r:id="rId5"/>
    <sheet name="MAT" sheetId="7" r:id="rId6"/>
    <sheet name="UTE" sheetId="8" r:id="rId7"/>
    <sheet name="Locais" sheetId="9" r:id="rId8"/>
  </sheets>
  <definedNames>
    <definedName name="_xlnm._FilterDatabase" localSheetId="7" hidden="1">Locais!$H$4:$H$12</definedName>
    <definedName name="_xlnm.Print_Area" localSheetId="2">'Cálculo custoM²'!$B$2:$I$73</definedName>
    <definedName name="_xlnm.Print_Area" localSheetId="1">'Custos por posto'!$A$1:$G$132</definedName>
    <definedName name="_xlnm.Print_Area" localSheetId="3">EQU!$B$1:$H$28</definedName>
    <definedName name="_xlnm.Print_Area" localSheetId="7">Locais!$B$2:$N$21</definedName>
    <definedName name="_xlnm.Print_Area" localSheetId="5">MAT!$B$1:$G$41</definedName>
    <definedName name="_xlnm.Print_Area" localSheetId="0">RESUMO!$A$1:$I$30</definedName>
    <definedName name="_xlnm.Print_Area" localSheetId="4">UNI.EPI!$B$1:$G$33</definedName>
    <definedName name="_xlnm.Print_Area" localSheetId="6">UTE!$B$2:$G$26</definedName>
    <definedName name="Excel_BuiltIn_Print_Area">#REF!</definedName>
    <definedName name="Excel_BuiltIn_Print_Area_1">#REF!</definedName>
    <definedName name="Excel_BuiltIn_Print_Area_2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3" roundtripDataChecksum="uoc4LKQSPhCsVsezLCdDrXA4KXXutp9w+TcNcnvsYIM="/>
    </ext>
  </extLst>
</workbook>
</file>

<file path=xl/calcChain.xml><?xml version="1.0" encoding="utf-8"?>
<calcChain xmlns="http://schemas.openxmlformats.org/spreadsheetml/2006/main">
  <c r="H26" i="2" l="1"/>
  <c r="K68" i="4"/>
  <c r="K67" i="4"/>
  <c r="K66" i="4"/>
  <c r="K65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M4" i="9"/>
  <c r="I11" i="9"/>
  <c r="I9" i="9"/>
  <c r="N11" i="9" s="1"/>
  <c r="E55" i="4" s="1"/>
  <c r="G55" i="4" s="1"/>
  <c r="I55" i="4" s="1"/>
  <c r="I8" i="9"/>
  <c r="I7" i="9"/>
  <c r="I6" i="9"/>
  <c r="I5" i="9"/>
  <c r="I12" i="9" s="1"/>
  <c r="I10" i="9"/>
  <c r="N18" i="9" s="1"/>
  <c r="G66" i="4" s="1"/>
  <c r="C85" i="3"/>
  <c r="C84" i="3"/>
  <c r="C83" i="3"/>
  <c r="C82" i="3"/>
  <c r="G12" i="9"/>
  <c r="N21" i="9"/>
  <c r="E61" i="4" s="1"/>
  <c r="G61" i="4" s="1"/>
  <c r="M21" i="9"/>
  <c r="N20" i="9"/>
  <c r="G68" i="4" s="1"/>
  <c r="M20" i="9"/>
  <c r="M19" i="9"/>
  <c r="M18" i="9"/>
  <c r="M17" i="9"/>
  <c r="N16" i="9"/>
  <c r="E60" i="4" s="1"/>
  <c r="G60" i="4" s="1"/>
  <c r="M16" i="9"/>
  <c r="N15" i="9"/>
  <c r="E59" i="4" s="1"/>
  <c r="G59" i="4" s="1"/>
  <c r="M15" i="9"/>
  <c r="N14" i="9"/>
  <c r="E58" i="4" s="1"/>
  <c r="G58" i="4" s="1"/>
  <c r="M14" i="9"/>
  <c r="N13" i="9"/>
  <c r="E57" i="4" s="1"/>
  <c r="G57" i="4" s="1"/>
  <c r="I57" i="4" s="1"/>
  <c r="M13" i="9"/>
  <c r="N12" i="9"/>
  <c r="E56" i="4" s="1"/>
  <c r="G56" i="4" s="1"/>
  <c r="M12" i="9"/>
  <c r="M11" i="9"/>
  <c r="N17" i="9"/>
  <c r="M10" i="9"/>
  <c r="N9" i="9"/>
  <c r="E53" i="4" s="1"/>
  <c r="G53" i="4" s="1"/>
  <c r="M9" i="9"/>
  <c r="N8" i="9"/>
  <c r="E52" i="4" s="1"/>
  <c r="G52" i="4" s="1"/>
  <c r="M8" i="9"/>
  <c r="N19" i="9"/>
  <c r="N7" i="9"/>
  <c r="E51" i="4" s="1"/>
  <c r="G51" i="4" s="1"/>
  <c r="M7" i="9"/>
  <c r="N10" i="9"/>
  <c r="E54" i="4" s="1"/>
  <c r="G54" i="4" s="1"/>
  <c r="N6" i="9"/>
  <c r="E50" i="4" s="1"/>
  <c r="M6" i="9"/>
  <c r="M5" i="9"/>
  <c r="N4" i="9"/>
  <c r="E48" i="4" s="1"/>
  <c r="G48" i="4" s="1"/>
  <c r="I48" i="4" s="1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30" i="6"/>
  <c r="G29" i="6"/>
  <c r="G28" i="6"/>
  <c r="G27" i="6"/>
  <c r="G26" i="6"/>
  <c r="G25" i="6"/>
  <c r="G24" i="6"/>
  <c r="G23" i="6"/>
  <c r="G22" i="6"/>
  <c r="G21" i="6"/>
  <c r="G20" i="6"/>
  <c r="G12" i="6"/>
  <c r="G11" i="6"/>
  <c r="G10" i="6"/>
  <c r="G9" i="6"/>
  <c r="G8" i="6"/>
  <c r="G7" i="6"/>
  <c r="G6" i="6"/>
  <c r="G5" i="6"/>
  <c r="G23" i="5"/>
  <c r="H23" i="5" s="1"/>
  <c r="H14" i="5"/>
  <c r="H13" i="5"/>
  <c r="H12" i="5"/>
  <c r="H11" i="5"/>
  <c r="H10" i="5"/>
  <c r="H9" i="5"/>
  <c r="H8" i="5"/>
  <c r="H7" i="5"/>
  <c r="H6" i="5"/>
  <c r="H5" i="5"/>
  <c r="G42" i="4"/>
  <c r="E42" i="4"/>
  <c r="G40" i="4"/>
  <c r="E40" i="4"/>
  <c r="G38" i="4"/>
  <c r="E38" i="4"/>
  <c r="G36" i="4"/>
  <c r="E36" i="4"/>
  <c r="E32" i="4"/>
  <c r="E30" i="4"/>
  <c r="E28" i="4"/>
  <c r="E26" i="4"/>
  <c r="E24" i="4"/>
  <c r="E22" i="4"/>
  <c r="E20" i="4"/>
  <c r="E18" i="4"/>
  <c r="E16" i="4"/>
  <c r="E14" i="4"/>
  <c r="E12" i="4"/>
  <c r="E10" i="4"/>
  <c r="E8" i="4"/>
  <c r="E6" i="4"/>
  <c r="E127" i="3"/>
  <c r="D127" i="3"/>
  <c r="C91" i="3"/>
  <c r="C81" i="3"/>
  <c r="C76" i="3"/>
  <c r="C74" i="3"/>
  <c r="C73" i="3"/>
  <c r="C71" i="3"/>
  <c r="C72" i="3" s="1"/>
  <c r="E59" i="3"/>
  <c r="D59" i="3"/>
  <c r="E58" i="3"/>
  <c r="D58" i="3"/>
  <c r="C54" i="3"/>
  <c r="C40" i="3"/>
  <c r="C39" i="3"/>
  <c r="E29" i="3"/>
  <c r="D29" i="3"/>
  <c r="E25" i="3"/>
  <c r="E24" i="3"/>
  <c r="D24" i="3"/>
  <c r="E21" i="3"/>
  <c r="D21" i="3"/>
  <c r="I66" i="4" l="1"/>
  <c r="I61" i="4"/>
  <c r="I68" i="4"/>
  <c r="I60" i="4"/>
  <c r="I59" i="4"/>
  <c r="I58" i="4"/>
  <c r="I56" i="4"/>
  <c r="I54" i="4"/>
  <c r="I53" i="4"/>
  <c r="I52" i="4"/>
  <c r="I51" i="4"/>
  <c r="G50" i="4"/>
  <c r="I50" i="4" s="1"/>
  <c r="G31" i="6"/>
  <c r="G32" i="6" s="1"/>
  <c r="D103" i="3" s="1"/>
  <c r="E103" i="3" s="1"/>
  <c r="E66" i="4"/>
  <c r="E68" i="4"/>
  <c r="E67" i="4"/>
  <c r="G67" i="4"/>
  <c r="I67" i="4" s="1"/>
  <c r="G24" i="8"/>
  <c r="G25" i="8" s="1"/>
  <c r="H15" i="5"/>
  <c r="C75" i="3"/>
  <c r="G38" i="7"/>
  <c r="G39" i="7" s="1"/>
  <c r="D31" i="3"/>
  <c r="D35" i="3" s="1"/>
  <c r="D57" i="3"/>
  <c r="C41" i="3"/>
  <c r="C87" i="3"/>
  <c r="E57" i="3"/>
  <c r="E30" i="3"/>
  <c r="E35" i="3" s="1"/>
  <c r="E65" i="4"/>
  <c r="G65" i="4"/>
  <c r="N5" i="9"/>
  <c r="E49" i="4" s="1"/>
  <c r="G49" i="4" s="1"/>
  <c r="I49" i="4" s="1"/>
  <c r="G13" i="6"/>
  <c r="G14" i="6" s="1"/>
  <c r="D99" i="3" s="1"/>
  <c r="I62" i="4" l="1"/>
  <c r="E86" i="3"/>
  <c r="E85" i="3"/>
  <c r="E84" i="3"/>
  <c r="E83" i="3"/>
  <c r="E82" i="3"/>
  <c r="E81" i="3"/>
  <c r="D84" i="3"/>
  <c r="D83" i="3"/>
  <c r="D82" i="3"/>
  <c r="D81" i="3"/>
  <c r="D60" i="3"/>
  <c r="D62" i="3" s="1"/>
  <c r="D67" i="3" s="1"/>
  <c r="D86" i="3"/>
  <c r="D85" i="3"/>
  <c r="D39" i="3"/>
  <c r="D41" i="3" s="1"/>
  <c r="D117" i="3"/>
  <c r="D40" i="3"/>
  <c r="D90" i="3"/>
  <c r="D91" i="3" s="1"/>
  <c r="D95" i="3" s="1"/>
  <c r="E90" i="3"/>
  <c r="E91" i="3" s="1"/>
  <c r="E95" i="3" s="1"/>
  <c r="E60" i="3"/>
  <c r="E39" i="3"/>
  <c r="E117" i="3"/>
  <c r="E40" i="3"/>
  <c r="E99" i="3"/>
  <c r="I65" i="4"/>
  <c r="I69" i="4" s="1"/>
  <c r="E62" i="3"/>
  <c r="E67" i="3" s="1"/>
  <c r="I70" i="4" l="1"/>
  <c r="I72" i="4" s="1"/>
  <c r="D129" i="3" s="1"/>
  <c r="E87" i="3"/>
  <c r="D87" i="3"/>
  <c r="E94" i="3"/>
  <c r="E96" i="3" s="1"/>
  <c r="E120" i="3" s="1"/>
  <c r="D94" i="3"/>
  <c r="D96" i="3" s="1"/>
  <c r="D120" i="3" s="1"/>
  <c r="D65" i="3"/>
  <c r="D43" i="3"/>
  <c r="D74" i="3"/>
  <c r="D47" i="3"/>
  <c r="D72" i="3"/>
  <c r="D75" i="3"/>
  <c r="D71" i="3"/>
  <c r="D52" i="3"/>
  <c r="D50" i="3"/>
  <c r="D48" i="3"/>
  <c r="D46" i="3"/>
  <c r="D73" i="3"/>
  <c r="D53" i="3"/>
  <c r="D51" i="3"/>
  <c r="D49" i="3"/>
  <c r="D76" i="3"/>
  <c r="E41" i="3"/>
  <c r="E24" i="5" l="1"/>
  <c r="H24" i="5" s="1"/>
  <c r="E16" i="5"/>
  <c r="H16" i="5" s="1"/>
  <c r="E26" i="8"/>
  <c r="G26" i="8" s="1"/>
  <c r="D102" i="3" s="1"/>
  <c r="E102" i="3" s="1"/>
  <c r="E40" i="7"/>
  <c r="G40" i="7" s="1"/>
  <c r="D100" i="3" s="1"/>
  <c r="E65" i="3"/>
  <c r="E43" i="3"/>
  <c r="E74" i="3"/>
  <c r="E46" i="3"/>
  <c r="E75" i="3"/>
  <c r="E53" i="3"/>
  <c r="E49" i="3"/>
  <c r="E52" i="3"/>
  <c r="E48" i="3"/>
  <c r="E76" i="3"/>
  <c r="E72" i="3"/>
  <c r="E47" i="3"/>
  <c r="E71" i="3"/>
  <c r="E51" i="3"/>
  <c r="E73" i="3"/>
  <c r="E50" i="3"/>
  <c r="D54" i="3"/>
  <c r="D66" i="3" s="1"/>
  <c r="D77" i="3"/>
  <c r="D119" i="3" s="1"/>
  <c r="D68" i="3"/>
  <c r="D118" i="3" s="1"/>
  <c r="H27" i="5" l="1"/>
  <c r="D101" i="3" s="1"/>
  <c r="E101" i="3" s="1"/>
  <c r="E100" i="3"/>
  <c r="E54" i="3"/>
  <c r="E66" i="3" s="1"/>
  <c r="E68" i="3" s="1"/>
  <c r="E118" i="3" s="1"/>
  <c r="E77" i="3"/>
  <c r="E119" i="3" s="1"/>
  <c r="D104" i="3" l="1"/>
  <c r="D121" i="3" s="1"/>
  <c r="D122" i="3" s="1"/>
  <c r="D107" i="3" s="1"/>
  <c r="E104" i="3"/>
  <c r="E121" i="3" s="1"/>
  <c r="E122" i="3" s="1"/>
  <c r="E107" i="3" s="1"/>
  <c r="E108" i="3" s="1"/>
  <c r="D108" i="3" l="1"/>
  <c r="D124" i="3" s="1"/>
  <c r="E124" i="3"/>
  <c r="H36" i="4" s="1"/>
  <c r="H6" i="4" l="1"/>
  <c r="D130" i="3"/>
  <c r="D112" i="3"/>
  <c r="D111" i="3"/>
  <c r="D110" i="3"/>
  <c r="I36" i="4"/>
  <c r="I37" i="4" s="1"/>
  <c r="D65" i="4" s="1"/>
  <c r="H65" i="4" s="1"/>
  <c r="E130" i="3"/>
  <c r="E131" i="3" s="1"/>
  <c r="E112" i="3"/>
  <c r="E111" i="3"/>
  <c r="E110" i="3"/>
  <c r="E109" i="3" l="1"/>
  <c r="E113" i="3" s="1"/>
  <c r="E123" i="3" s="1"/>
  <c r="D109" i="3"/>
  <c r="D113" i="3" s="1"/>
  <c r="D123" i="3" s="1"/>
  <c r="H40" i="4"/>
  <c r="I40" i="4" s="1"/>
  <c r="I41" i="4" s="1"/>
  <c r="D67" i="4" s="1"/>
  <c r="H67" i="4" s="1"/>
  <c r="I6" i="4"/>
  <c r="I7" i="4" s="1"/>
  <c r="D48" i="4" s="1"/>
  <c r="H48" i="4" s="1"/>
  <c r="H38" i="4"/>
  <c r="I38" i="4" s="1"/>
  <c r="I39" i="4" s="1"/>
  <c r="D66" i="4" s="1"/>
  <c r="H66" i="4" s="1"/>
  <c r="H30" i="4"/>
  <c r="I30" i="4" s="1"/>
  <c r="I31" i="4" s="1"/>
  <c r="D60" i="4" s="1"/>
  <c r="H60" i="4" s="1"/>
  <c r="H26" i="4"/>
  <c r="I26" i="4" s="1"/>
  <c r="I27" i="4" s="1"/>
  <c r="D58" i="4" s="1"/>
  <c r="H58" i="4" s="1"/>
  <c r="H22" i="4"/>
  <c r="I22" i="4" s="1"/>
  <c r="I23" i="4" s="1"/>
  <c r="D56" i="4" s="1"/>
  <c r="H56" i="4" s="1"/>
  <c r="H18" i="4"/>
  <c r="I18" i="4" s="1"/>
  <c r="I19" i="4" s="1"/>
  <c r="D54" i="4" s="1"/>
  <c r="H54" i="4" s="1"/>
  <c r="H14" i="4"/>
  <c r="I14" i="4" s="1"/>
  <c r="I15" i="4" s="1"/>
  <c r="D52" i="4" s="1"/>
  <c r="H52" i="4" s="1"/>
  <c r="H10" i="4"/>
  <c r="I10" i="4" s="1"/>
  <c r="I11" i="4" s="1"/>
  <c r="D50" i="4" s="1"/>
  <c r="H50" i="4" s="1"/>
  <c r="H42" i="4"/>
  <c r="I42" i="4" s="1"/>
  <c r="I43" i="4" s="1"/>
  <c r="D68" i="4" s="1"/>
  <c r="H68" i="4" s="1"/>
  <c r="H32" i="4"/>
  <c r="I32" i="4" s="1"/>
  <c r="I33" i="4" s="1"/>
  <c r="D61" i="4" s="1"/>
  <c r="H61" i="4" s="1"/>
  <c r="H28" i="4"/>
  <c r="I28" i="4" s="1"/>
  <c r="I29" i="4" s="1"/>
  <c r="D59" i="4" s="1"/>
  <c r="H59" i="4" s="1"/>
  <c r="H24" i="4"/>
  <c r="I24" i="4" s="1"/>
  <c r="I25" i="4" s="1"/>
  <c r="D57" i="4" s="1"/>
  <c r="H57" i="4" s="1"/>
  <c r="H20" i="4"/>
  <c r="I20" i="4" s="1"/>
  <c r="I21" i="4" s="1"/>
  <c r="D55" i="4" s="1"/>
  <c r="H55" i="4" s="1"/>
  <c r="H16" i="4"/>
  <c r="I16" i="4" s="1"/>
  <c r="I17" i="4" s="1"/>
  <c r="D53" i="4" s="1"/>
  <c r="H53" i="4" s="1"/>
  <c r="H12" i="4"/>
  <c r="I12" i="4" s="1"/>
  <c r="I13" i="4" s="1"/>
  <c r="D51" i="4" s="1"/>
  <c r="H51" i="4" s="1"/>
  <c r="H8" i="4"/>
  <c r="I8" i="4" s="1"/>
  <c r="I9" i="4" s="1"/>
  <c r="H69" i="4" l="1"/>
  <c r="D49" i="4"/>
  <c r="H49" i="4" s="1"/>
  <c r="H62" i="4" l="1"/>
  <c r="H70" i="4" s="1"/>
  <c r="D131" i="3" s="1"/>
  <c r="D132" i="3" s="1"/>
  <c r="I26" i="2" l="1"/>
  <c r="I2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User</author>
  </authors>
  <commentList>
    <comment ref="C48" authorId="0" shapeId="0" xr:uid="{00000000-0006-0000-0200-000002000000}">
      <text>
        <r>
          <rPr>
            <sz val="11"/>
            <color rgb="FF000000"/>
            <rFont val="Calibri"/>
            <family val="2"/>
            <scheme val="minor"/>
          </rPr>
          <t>RAT 3% (serv. limp. prédios e domicílios) x FAT (fator individual da empresa) (máximo 2%).</t>
        </r>
      </text>
    </comment>
    <comment ref="C71" authorId="0" shapeId="0" xr:uid="{00000000-0006-0000-0200-000003000000}">
      <text>
        <r>
          <rPr>
            <sz val="11"/>
            <color rgb="FF000000"/>
            <rFont val="Calibri"/>
            <family val="2"/>
            <scheme val="minor"/>
          </rPr>
          <t>Será reduzido no 13° mês de contrato.</t>
        </r>
      </text>
    </comment>
    <comment ref="C74" authorId="0" shapeId="0" xr:uid="{00000000-0006-0000-0200-000004000000}">
      <text>
        <r>
          <rPr>
            <sz val="11"/>
            <color rgb="FF000000"/>
            <rFont val="Calibri"/>
            <family val="2"/>
            <scheme val="minor"/>
          </rPr>
          <t>Será zerado no 13° do contrato</t>
        </r>
      </text>
    </comment>
    <comment ref="C81" authorId="0" shapeId="0" xr:uid="{00000000-0006-0000-0200-000005000000}">
      <text>
        <r>
          <rPr>
            <sz val="11"/>
            <color rgb="FF000000"/>
            <rFont val="Calibri"/>
            <family val="2"/>
            <scheme val="minor"/>
          </rPr>
          <t>[1+(1/12)+(1/12)+(1/12/3)]/12</t>
        </r>
      </text>
    </comment>
    <comment ref="C82" authorId="0" shapeId="0" xr:uid="{00000000-0006-0000-0200-000006000000}">
      <text>
        <r>
          <rPr>
            <sz val="11"/>
            <color rgb="FF000000"/>
            <rFont val="Calibri"/>
            <family val="2"/>
            <scheme val="minor"/>
          </rPr>
          <t>[(1/30)/12] - Art.473 da CLT. Acordão TCU n° 6.771/2009.</t>
        </r>
      </text>
    </comment>
    <comment ref="C83" authorId="0" shapeId="0" xr:uid="{00000000-0006-0000-0200-000007000000}">
      <text>
        <r>
          <rPr>
            <sz val="11"/>
            <color rgb="FF000000"/>
            <rFont val="Calibri"/>
            <family val="2"/>
            <scheme val="minor"/>
          </rPr>
          <t>{[(5/30/12} x 1,62% x 50%
considerou-se a taxa de natalidade de 1,62% (IBGE 2023) a força de trabalho masculina de
50% e 5 dias de licença por ano. Onde: 5 = nº dias de licença; 30 = nº dias no mês; 12 = nº meses no ano; 1,5% = média trabalhadores que são pais durante o ano ((Acórdão-TCU nº 1.904-P, de 2007).</t>
        </r>
      </text>
    </comment>
    <comment ref="C84" authorId="0" shapeId="0" xr:uid="{00000000-0006-0000-0200-000008000000}">
      <text>
        <r>
          <rPr>
            <sz val="11"/>
            <color rgb="FF000000"/>
            <rFont val="Calibri"/>
            <family val="2"/>
            <scheme val="minor"/>
          </rPr>
          <t>Estima-se uma licença de 15 dias por ano para 1,22% dos empregados. Esta taxa foi obtida
pela proporção de acidentes de trabalho registrados, 717.911, conforme dados do Anuário Estatístico da Previdência Social – AEPS/2013, em relação a 58.981.000 de trabalhadores que fazem jus a emissão da CAT (trabalhadores com carteira assinada, outros tipos de trabalhadores e domésticas), conforme dados da PNAD 2013.</t>
        </r>
      </text>
    </comment>
    <comment ref="C85" authorId="0" shapeId="0" xr:uid="{00000000-0006-0000-0200-000009000000}">
      <text>
        <r>
          <rPr>
            <sz val="11"/>
            <color rgb="FF000000"/>
            <rFont val="Calibri"/>
            <family val="2"/>
            <scheme val="minor"/>
          </rPr>
          <t>Durante a licença, o salário maternidade e a parcela do décimo terceiro salário é custeado pelo INSS (Art. 59 da IN RFB 2110/2022). Cabe à contratada a provisão relativa às férias (1/12) e adicional de férias (1/12/3). Para o cálculo foi considerada a taxa de natalidade de 1,62% ao ano (IBGE 2023), a força de trabalho feminina de 50% e 120 dias de licença por ano.</t>
        </r>
      </text>
    </comment>
    <comment ref="F85" authorId="1" shapeId="0" xr:uid="{00000000-0006-0000-0200-00000A000000}">
      <text>
        <r>
          <rPr>
            <sz val="12"/>
            <color rgb="FF000000"/>
            <rFont val="Arial2"/>
          </rPr>
          <t>Em meses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OxACsx+fAevrYk8SBhZNZ6PvNWA=="/>
    </ext>
  </extL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5" authorId="0" shapeId="0" xr:uid="{00000000-0006-0000-0800-000001000000}">
      <text>
        <r>
          <rPr>
            <sz val="11"/>
            <color rgb="FF000000"/>
            <rFont val="Calibri"/>
            <family val="2"/>
            <scheme val="minor"/>
          </rPr>
          <t>======
ID#AAABjzpVC0A
Compras - IFC    (2025-05-16 11:18:51)
Alterar para três</t>
        </r>
      </text>
    </comment>
    <comment ref="F7" authorId="0" shapeId="0" xr:uid="{00000000-0006-0000-0800-000002000000}">
      <text>
        <r>
          <rPr>
            <sz val="11"/>
            <color rgb="FF000000"/>
            <rFont val="Calibri"/>
            <family val="2"/>
            <scheme val="minor"/>
          </rPr>
          <t>======
ID#AAABjzpVC0E
Compras - IFC    (2025-05-16 11:19:04)
Alterar para três</t>
        </r>
      </text>
    </comment>
    <comment ref="F8" authorId="0" shapeId="0" xr:uid="{00000000-0006-0000-0800-000003000000}">
      <text>
        <r>
          <rPr>
            <sz val="11"/>
            <color rgb="FF000000"/>
            <rFont val="Calibri"/>
            <family val="2"/>
            <scheme val="minor"/>
          </rPr>
          <t>======
ID#AAABjzpVC0I
Compras - IFC    (2025-05-16 11:19:16)
Alterar para 2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VYq9zxVvOXDs0gP9+mYnFZvZX3Q=="/>
    </ext>
  </extLst>
</comments>
</file>

<file path=xl/sharedStrings.xml><?xml version="1.0" encoding="utf-8"?>
<sst xmlns="http://schemas.openxmlformats.org/spreadsheetml/2006/main" count="726" uniqueCount="360">
  <si>
    <t>Processo:</t>
  </si>
  <si>
    <t>Data:</t>
  </si>
  <si>
    <t>Hora:</t>
  </si>
  <si>
    <t>Contratação de pessoa jurídica especializada na prestação de serviços continuados de limpeza e conservação de bens móveis e imóveis, com dedicação exclusiva demão de obra e fornecimento de materiais, utensílios e equipamentos necessários, conforme condições, quantidades e exigências estabelecidas neste Edital e seus anexos.</t>
  </si>
  <si>
    <t>Razão Social:</t>
  </si>
  <si>
    <t>CNPJ:</t>
  </si>
  <si>
    <t>Endereço:</t>
  </si>
  <si>
    <t>Município:</t>
  </si>
  <si>
    <t>Telefone:</t>
  </si>
  <si>
    <t>E-mail:</t>
  </si>
  <si>
    <t>RESPONSÁVEL PELA ASSINATURA DO CONTRATO:</t>
  </si>
  <si>
    <t>Função:</t>
  </si>
  <si>
    <t>CPF:</t>
  </si>
  <si>
    <t>RG:</t>
  </si>
  <si>
    <t>Pregão nº:</t>
  </si>
  <si>
    <t>Objeto:</t>
  </si>
  <si>
    <t>IDENTIFICAÇÃO DA PROPONENTE:</t>
  </si>
  <si>
    <t>Representante:</t>
  </si>
  <si>
    <t>Valores Propostos (Lote Único):</t>
  </si>
  <si>
    <t>Item</t>
  </si>
  <si>
    <t>Descrição</t>
  </si>
  <si>
    <t>Unid. Medida</t>
  </si>
  <si>
    <t>Qtd.</t>
  </si>
  <si>
    <t>Valor Mensal</t>
  </si>
  <si>
    <t>Valor Total Anual</t>
  </si>
  <si>
    <t>Contratação de empresa especializada na
prestação de serviços continuados de limpeza,
higienização e conservação de bens móveis e
imóveis, com dedicação exclusiva de mão de
obra e fornecimento de materiais, utensílios e
equipamentos necessários, para atender às
necessidades do IFC — Reitoria.</t>
  </si>
  <si>
    <t>Mês</t>
  </si>
  <si>
    <t>TOTAL</t>
  </si>
  <si>
    <t>Licitação nº</t>
  </si>
  <si>
    <t>Discriminação dos Serviços (dados referentes à contratação)</t>
  </si>
  <si>
    <t>A</t>
  </si>
  <si>
    <t>Data de apreciação da proposta (dia/mês/ano)</t>
  </si>
  <si>
    <t>B</t>
  </si>
  <si>
    <t>Município/DF</t>
  </si>
  <si>
    <t xml:space="preserve">C           </t>
  </si>
  <si>
    <t>CCT</t>
  </si>
  <si>
    <t>D</t>
  </si>
  <si>
    <t>Nº de meses de execução contratual</t>
  </si>
  <si>
    <t>Identificação do serviço</t>
  </si>
  <si>
    <t>Posto de Serviço</t>
  </si>
  <si>
    <t>Servente de Limpeza</t>
  </si>
  <si>
    <t>Nº de empregados</t>
  </si>
  <si>
    <t>Nº de dias trabalhados</t>
  </si>
  <si>
    <t>Carga horária semanal</t>
  </si>
  <si>
    <t>Dados para composição dos custos referentes a mão de obra</t>
  </si>
  <si>
    <t>Tipo de serviço</t>
  </si>
  <si>
    <t>Classificação Brasileira de Ocupações (CBO)</t>
  </si>
  <si>
    <t>5143-20</t>
  </si>
  <si>
    <t>Salário normativo da categoria profissional</t>
  </si>
  <si>
    <t>Categoria profissional</t>
  </si>
  <si>
    <t>Data base da categoria</t>
  </si>
  <si>
    <t>Módulo 1 - Composição da remuneração</t>
  </si>
  <si>
    <t>Composição da remuneração</t>
  </si>
  <si>
    <t>%</t>
  </si>
  <si>
    <t>Valor (R$)</t>
  </si>
  <si>
    <t>Salário base</t>
  </si>
  <si>
    <t>Adicional de periculosidade</t>
  </si>
  <si>
    <t>C</t>
  </si>
  <si>
    <t>Adicional de insalubridade</t>
  </si>
  <si>
    <t>Adicional noturno</t>
  </si>
  <si>
    <t>E</t>
  </si>
  <si>
    <t>Adicional de hora noturna reduzida</t>
  </si>
  <si>
    <t>F</t>
  </si>
  <si>
    <t>Outros (especificar)</t>
  </si>
  <si>
    <t>Total</t>
  </si>
  <si>
    <t>Módulo 2 – Encargos e benefícios anuais, mensais e diários</t>
  </si>
  <si>
    <t>Submódulo 2.1 – 13º (décimo terceiro) salário e adicional de férias</t>
  </si>
  <si>
    <t>2.1</t>
  </si>
  <si>
    <t>13º (décimo terceiro) salário e adicional de férias</t>
  </si>
  <si>
    <t>13º (décimo terceiro) salário</t>
  </si>
  <si>
    <t>Adicional de férias</t>
  </si>
  <si>
    <t>Total Módulo 1 + submódulo 2.1</t>
  </si>
  <si>
    <t>Submódulo 2.2 – Encargos previdenciários (GPS), fundo de garantia por tempo de serviços (FGTS) e outras contribuições</t>
  </si>
  <si>
    <t>2.2</t>
  </si>
  <si>
    <t>GPS, FGTS e outras contribuições</t>
  </si>
  <si>
    <t>INSS</t>
  </si>
  <si>
    <t>Salário educação</t>
  </si>
  <si>
    <t>SAT</t>
  </si>
  <si>
    <t>SESC ou SESI</t>
  </si>
  <si>
    <t>SENAI – SENAC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</si>
  <si>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</si>
  <si>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</si>
  <si>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</si>
  <si>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</si>
  <si>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</si>
  <si>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</si>
  <si>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</si>
  <si>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</si>
  <si>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Vale Transporte (Vlr. Unit. x 2 x 22 dias) - 6% s/ salário</t>
  </si>
  <si>
    <t>Auxílio-alimentação (Vlr. Unit. x 22 dias) – Desconto 1%</t>
  </si>
  <si>
    <t>Benefício de Assistência ao Trabalhador</t>
  </si>
  <si>
    <t>Prêmio assiduidade</t>
  </si>
  <si>
    <t>Encargos e benefícios anuais, mensais e diários</t>
  </si>
  <si>
    <t>13º (décimo terceiro) salário, férias e adicional de férias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</si>
  <si>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</si>
  <si>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</si>
  <si>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</si>
  <si>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</si>
  <si>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relativa ao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</si>
  <si>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</si>
  <si>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</si>
  <si>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</si>
  <si>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</si>
  <si>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Substituto nas ausências legais</t>
  </si>
  <si>
    <t>4.1</t>
  </si>
  <si>
    <t>Composição do custo de reposição do profissional ausente</t>
  </si>
  <si>
    <t>Substituto na cobertura de férias</t>
  </si>
  <si>
    <t>Substituto na cobertura de ausências legais</t>
  </si>
  <si>
    <t>Substituto na cobertura de licença-paternidade</t>
  </si>
  <si>
    <t>Substituto da cobertura de acidente de trabalho</t>
  </si>
  <si>
    <t>Substituto na cobertura de afastamento maternidade</t>
  </si>
  <si>
    <t>Submódulo 4.2 – Substituto na intrajornada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</si>
  <si>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</si>
  <si>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</si>
  <si>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</si>
  <si>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</si>
  <si>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Substituto nas ausências legais</t>
  </si>
  <si>
    <t>4.2</t>
  </si>
  <si>
    <t>Módulo 5 - Insumos diversos</t>
  </si>
  <si>
    <t>Insumos diversos</t>
  </si>
  <si>
    <t>Uniformes</t>
  </si>
  <si>
    <t>Materiais</t>
  </si>
  <si>
    <t>Equipamentos</t>
  </si>
  <si>
    <t>Utensílios</t>
  </si>
  <si>
    <t>Outros (EPIs)</t>
  </si>
  <si>
    <t>Total de Insumos diversos</t>
  </si>
  <si>
    <t>Módulo 6 - Custos indiretos, tributos e lucro</t>
  </si>
  <si>
    <t>Custos Indiretos, tributos e lucro</t>
  </si>
  <si>
    <t>Custos indiretos</t>
  </si>
  <si>
    <t>Lucro</t>
  </si>
  <si>
    <t>Tributos</t>
  </si>
  <si>
    <t>C1</t>
  </si>
  <si>
    <t>Tributos federais (PIS E COFINS)</t>
  </si>
  <si>
    <t>C2</t>
  </si>
  <si>
    <t>Tributos estaduais (especificar)</t>
  </si>
  <si>
    <t>C3</t>
  </si>
  <si>
    <t>Tributos municipais (especificar) ISS (Cód. 17.05)</t>
  </si>
  <si>
    <t>Quadro-resumo do custo por empregado</t>
  </si>
  <si>
    <t>Mão de obra vinculada à execução contratual</t>
  </si>
  <si>
    <t>Subtotal (A + B + C + D + E)</t>
  </si>
  <si>
    <t>Valor total por empregado</t>
  </si>
  <si>
    <t>Quadro-resumo do valor mensal dos serviços</t>
  </si>
  <si>
    <t>QTD Funcionário por posto =</t>
  </si>
  <si>
    <t>QTD de Postos =</t>
  </si>
  <si>
    <t>Valor Unitário por posto =</t>
  </si>
  <si>
    <t>Sub-Total Mensal origem m² =</t>
  </si>
  <si>
    <t>Valor Global da Proposta (12 meses)</t>
  </si>
  <si>
    <t>Mão de obra</t>
  </si>
  <si>
    <t>Área</t>
  </si>
  <si>
    <t>Produtividade</t>
  </si>
  <si>
    <t>Preço homem-mês</t>
  </si>
  <si>
    <t>Subtotal</t>
  </si>
  <si>
    <t>Servente</t>
  </si>
  <si>
    <t>Pisos acarpetados</t>
  </si>
  <si>
    <t>Pisos frios</t>
  </si>
  <si>
    <t>Laboratórios</t>
  </si>
  <si>
    <t>Almoxarifado/galpões</t>
  </si>
  <si>
    <t>Oficinas</t>
  </si>
  <si>
    <t>Áreas com espaços livres – saguão, hall e salão</t>
  </si>
  <si>
    <t>Banheiros</t>
  </si>
  <si>
    <t>Pisos pavimentados adjacentes/contínuos às edificações</t>
  </si>
  <si>
    <t>Varrição de passeios e arruamentos</t>
  </si>
  <si>
    <t>Pátios e áreas verdes com alta frequência</t>
  </si>
  <si>
    <t>Pátios e áreas verdes com média frequência</t>
  </si>
  <si>
    <t>Pátios e áreas verdes com baixa frequência</t>
  </si>
  <si>
    <t>Coleta de detritos em pátios e áreas verdes com frequência diária</t>
  </si>
  <si>
    <t>Áreas hospitalares e assemelhadas</t>
  </si>
  <si>
    <t>Frequência no mês</t>
  </si>
  <si>
    <t>Jornada de Trabalho no mês/semestre</t>
  </si>
  <si>
    <t>Face externa com exposição a situação de risco</t>
  </si>
  <si>
    <t>Face externa sem exposição a situação de risco</t>
  </si>
  <si>
    <t>Face interna</t>
  </si>
  <si>
    <t>Fachadas envidraçadas</t>
  </si>
  <si>
    <t>Valor mensal dos serviços</t>
  </si>
  <si>
    <t>Tipo de área</t>
  </si>
  <si>
    <t>Preço mensal unitário</t>
  </si>
  <si>
    <t>Periodicidade (diária)</t>
  </si>
  <si>
    <t>Área total à ser limpa</t>
  </si>
  <si>
    <t>Qtde funcionários por serviço</t>
  </si>
  <si>
    <t>Prod.</t>
  </si>
  <si>
    <t>Almoxarifados/ galpões</t>
  </si>
  <si>
    <t>Pisos Pavimentados adjacentes/contíguos às edificações</t>
  </si>
  <si>
    <t>Varrição de Passeios e Arruamentos</t>
  </si>
  <si>
    <t>Pátios e Áreas Verdes com Alta Frequência</t>
  </si>
  <si>
    <t>Pátios e Áreas Verdes com Média Frequência</t>
  </si>
  <si>
    <t>Pátios e Áreas Verdes com Baixa Frequência</t>
  </si>
  <si>
    <t>Coleta de Detritos em Pátios e Áreas Verdes com Frequência Diária</t>
  </si>
  <si>
    <t>Áreas hospitalares  e assemelhadas</t>
  </si>
  <si>
    <t>Periodicidade (semestral)</t>
  </si>
  <si>
    <t>Face externa com risco</t>
  </si>
  <si>
    <t>Face externa sem risco</t>
  </si>
  <si>
    <t>Fachada envidraçadas</t>
  </si>
  <si>
    <t>Equipamentos e Valores estimados</t>
  </si>
  <si>
    <t>UNI</t>
  </si>
  <si>
    <t>Descrição do produto</t>
  </si>
  <si>
    <t>QTD/ EST.</t>
  </si>
  <si>
    <t>VU/R$</t>
  </si>
  <si>
    <t>Tempo de Vida útil (meses)</t>
  </si>
  <si>
    <t>Custo Efetivo Mensal</t>
  </si>
  <si>
    <t>Unidade</t>
  </si>
  <si>
    <t>Aspirador de pó/água profissional - 2.400W - 220 V (com extensão elétrica e demais acessórios necessários).</t>
  </si>
  <si>
    <t>Carrinho Mop (carro de limpeza com sistema de 2 águas, uma para solução limpadora e outra para água limpa).</t>
  </si>
  <si>
    <t>Escada dobrável em alumínio com 7 degraus</t>
  </si>
  <si>
    <t>Lavadora de alta pressão com, no mínimo, 2200 libras e 1600 W de potência - 220 V (com extensão elétrica, fibras e demais acessórios necessários.</t>
  </si>
  <si>
    <t>Soprador de folhas com potência de 3,2 kw</t>
  </si>
  <si>
    <t>Relógio de ponto biométrico</t>
  </si>
  <si>
    <t>TOTAL MENSAL</t>
  </si>
  <si>
    <t>TOTAL POR FUNCIONÁRIO</t>
  </si>
  <si>
    <t>colaboradores</t>
  </si>
  <si>
    <t xml:space="preserve">Equipamentos a sereem locados durante a execução contratual </t>
  </si>
  <si>
    <t>Custo mensal</t>
  </si>
  <si>
    <t>Locação anual de plataforma elevatória</t>
  </si>
  <si>
    <t>VALOR TOTAL POR EMPREGADO POR MÊS DE EQUIPAMENTOS</t>
  </si>
  <si>
    <t>QTD/ Ano</t>
  </si>
  <si>
    <t>R$/ TOTAL</t>
  </si>
  <si>
    <t>Boné.</t>
  </si>
  <si>
    <t>Calça comprida em brim com bolsos laterais e traseiros.</t>
  </si>
  <si>
    <t>Calça impermeável.</t>
  </si>
  <si>
    <t>Camisetas manga longa, malha fria, gola esporte, com emblema pintado da empresa.</t>
  </si>
  <si>
    <t>Camisetas manga curta, malha fria, 100% algodão, gola esporte, com o emblema pintado da empresa.</t>
  </si>
  <si>
    <t>Casaco tipo moletom, material algodão.</t>
  </si>
  <si>
    <t>Casaco ou jaqueta em nylon, com zíper na frente e bolsos laterais, com forro interno.</t>
  </si>
  <si>
    <t>Jalecos em brim, manga curta, com logomarca da empresa impressa ou bordada no bolso.</t>
  </si>
  <si>
    <t>TOTAL ANUAL</t>
  </si>
  <si>
    <t>meses</t>
  </si>
  <si>
    <t>Avental de PVC impermeável</t>
  </si>
  <si>
    <t>Par</t>
  </si>
  <si>
    <t>Calçado ocupacional tipo bota Classe II (impermeável), confeccionado com policloreto de vinila (PVC) e borracha nitrílica, cano longo.</t>
  </si>
  <si>
    <t>Calçado ocupacional, confeccionado em couro hidrofugado, palmilha montada pelo sistema strobel, com bico de conformação e solado de poliuretano bidensidade injetada direto. A palmilha deve ser antibacteriana.</t>
  </si>
  <si>
    <t>Capa de Chuva</t>
  </si>
  <si>
    <t>Luva de látex forrada com palma antiderrapante, cano longo.</t>
  </si>
  <si>
    <t>Luva Nitrílica, na cor verde, punho longo, 45cm.</t>
  </si>
  <si>
    <t>Máscara descartável, respirador semifacial PFF2, para proteção contra poeiras, névoas e fumos</t>
  </si>
  <si>
    <t>Óculos de proteção contra partículas multidirecionais, incolor, ou com lente fumê.</t>
  </si>
  <si>
    <t>Protetor Solar PFS 30, 120g</t>
  </si>
  <si>
    <t>Protetor auricular (em caso de exposição a ruído)</t>
  </si>
  <si>
    <t>Embalagem 100ml</t>
  </si>
  <si>
    <t>REPELENTE CONTRA INSETOS CONTÉM DEET; EFICAZ NA PROTEÇÃO CONTRA OS MOSQUITOS CULEX QUINQUEFASCIATUS, AEDES AEGYPTI, ANOPHELES SP E CARRAPATOS RHIPICEPHALUS SANGUINEUS; 10 HORAS DE EFICÁCIA REPELENTE; SECAGEM RÁPIDA; ESSÊNCIA AGRADÁVEL QUE REDUZ O CHEIRO DO ATIVO REPELENTE; DERMATOLOGICAMENTE TESTADO; HIPOALERGÊNICO; (COMPOSIÇÃO: AQUA, ALCOHOL, DIETHYL TOLUAMIDE, GLYCERIN, ALOE BARBADENSIS EXTRACT, CHAMOMILLA RECUTITA FLOWER EXTRACT, PHENOXYETHANOL/ METHYLPARABEN/ ETHYLPARABEN/ BUTYLPARABEN/ PROPYLPARABEN, PARFUM (ALPHA-ISOMETHYL IONONE, AMYL CINNAMAL, AMYLCINNAMYL ALCOHOL, BENZYL ALCOHOL, BENZYL BENZOATE, BENZYL SALICYLATE, CITRAL, CITRONELLOL, COUMARIN, GERANIOL, HEXYL CINNAMAL, LIMONENE, LINALOOL). INGREDIENTE ATIVO: DIETHYL TOLUAMIDE – 15% ).</t>
  </si>
  <si>
    <t>R$/ TOTAL ANO</t>
  </si>
  <si>
    <t>Galão com 5 litros</t>
  </si>
  <si>
    <t>Litro</t>
  </si>
  <si>
    <t>Frasco com 400ml</t>
  </si>
  <si>
    <t>Frasco
500 ml</t>
  </si>
  <si>
    <t>Frasco com 500 ml</t>
  </si>
  <si>
    <t>Galão com 05 litros</t>
  </si>
  <si>
    <t>Frasco
com 500
ml</t>
  </si>
  <si>
    <t>Pacote com 50 gramas</t>
  </si>
  <si>
    <t>Pacotes com 04 unidades</t>
  </si>
  <si>
    <t>Pacote
com
1000
unidades</t>
  </si>
  <si>
    <t>Caixa com 03 unidades</t>
  </si>
  <si>
    <t>Frasco 500ml</t>
  </si>
  <si>
    <t>Kg</t>
  </si>
  <si>
    <t>Pacote com 100 unidades</t>
  </si>
  <si>
    <t>Frasco com 250ml</t>
  </si>
  <si>
    <t>Desentupidor de vaso sanitário</t>
  </si>
  <si>
    <t>Periodicidade</t>
  </si>
  <si>
    <t>Ambientes</t>
  </si>
  <si>
    <t xml:space="preserve">Anual </t>
  </si>
  <si>
    <t xml:space="preserve">Mensal </t>
  </si>
  <si>
    <t xml:space="preserve">Semanal </t>
  </si>
  <si>
    <t>Diária</t>
  </si>
  <si>
    <t>Metragem Ambiente</t>
  </si>
  <si>
    <t>tipos</t>
  </si>
  <si>
    <t>média diária = área x frequência (m2)</t>
  </si>
  <si>
    <t>Ambiente</t>
  </si>
  <si>
    <t>Tipo</t>
  </si>
  <si>
    <t>Medida do Campus</t>
  </si>
  <si>
    <t>Média Diária (área x frequência) m2</t>
  </si>
  <si>
    <t>Áreas internas</t>
  </si>
  <si>
    <t>Pisos Acarpetados</t>
  </si>
  <si>
    <t>Pisos Frios – Recepção</t>
  </si>
  <si>
    <t>Pisos Frios</t>
  </si>
  <si>
    <t>Pisos Frios – Demais</t>
  </si>
  <si>
    <t>Almoxarifado</t>
  </si>
  <si>
    <t>Esquadrias interna - Sem risco</t>
  </si>
  <si>
    <t>Face Interna</t>
  </si>
  <si>
    <t>Pisos pavimentados adjacentes/contíguos às
edificações.</t>
  </si>
  <si>
    <t>Áreas com espaços livres (saguão, hall, salão e etc)</t>
  </si>
  <si>
    <t>Esquadrias e Fachadas Face externa – sem risco</t>
  </si>
  <si>
    <t>Face Externa sem Exposição a Situação de Risco</t>
  </si>
  <si>
    <t>Esquadrias e Fachadas Face interna – com risco</t>
  </si>
  <si>
    <t>Face Externa com Exposição a Situação de Risco</t>
  </si>
  <si>
    <t>Áreas externas</t>
  </si>
  <si>
    <t>Esquadrias</t>
  </si>
  <si>
    <t>Fachadas Envidraçadas</t>
  </si>
  <si>
    <t>Área Hospitalares e assemelhadas</t>
  </si>
  <si>
    <r>
      <t xml:space="preserve">
</t>
    </r>
    <r>
      <rPr>
        <b/>
        <sz val="10"/>
        <color rgb="FF000000"/>
        <rFont val="Calibri11"/>
      </rPr>
      <t>Ministério da Educação</t>
    </r>
    <r>
      <rPr>
        <b/>
        <sz val="10"/>
        <color rgb="FF000000"/>
        <rFont val="Calibri11"/>
      </rPr>
      <t xml:space="preserve">
Secretaria de Educação Profissional e Tecnológica</t>
    </r>
    <r>
      <rPr>
        <b/>
        <sz val="10"/>
        <color rgb="FF000000"/>
        <rFont val="Calibri11"/>
      </rPr>
      <t xml:space="preserve">
Instituto Federal Catarinense</t>
    </r>
  </si>
  <si>
    <t>Número do processo</t>
  </si>
  <si>
    <t>Quadro-resumo do módulo 2 – Encargos e benefícios anuais, mensais e diários</t>
  </si>
  <si>
    <t>Dias de afastamento</t>
  </si>
  <si>
    <t>Percentual de incidência</t>
  </si>
  <si>
    <t>Substituto na cobertura de Outras ausências (especificar)</t>
  </si>
  <si>
    <t>ok</t>
  </si>
  <si>
    <t>Borrifador de plástico 500 ml, para distribuição dos materiais de limpeza.</t>
  </si>
  <si>
    <t>okok</t>
  </si>
  <si>
    <t>Qtde estimada de funcionários por serviço</t>
  </si>
  <si>
    <t xml:space="preserve">Quantidade Estimada de Postos </t>
  </si>
  <si>
    <t>Total Geral</t>
  </si>
  <si>
    <t>PLANILHA AUXILIAR: DETERMINAÇÃO DO VALOR DO SERVIÇO EM R$/M²</t>
  </si>
  <si>
    <t>TOTAL POR FUNCIONÁRIO/MÊS</t>
  </si>
  <si>
    <t>Valor Uitário</t>
  </si>
  <si>
    <t>Valor Anual</t>
  </si>
  <si>
    <t>EPIs</t>
  </si>
  <si>
    <r>
      <rPr>
        <b/>
        <sz val="9"/>
        <color theme="1"/>
        <rFont val="Arial"/>
        <family val="2"/>
      </rPr>
      <t>Água Sanitária</t>
    </r>
    <r>
      <rPr>
        <sz val="9"/>
        <color theme="1"/>
        <rFont val="Arial"/>
        <family val="2"/>
      </rPr>
      <t>. Composição química: hipoclorito de sódio, hidróxido de sódio, cloreto, teor cloro ativo, varia de 2 a 2,50%. Cor incolor. Embalagem plástica com tampa lacrada.</t>
    </r>
  </si>
  <si>
    <r>
      <rPr>
        <b/>
        <sz val="9"/>
        <color theme="1"/>
        <rFont val="Arial"/>
        <family val="2"/>
      </rPr>
      <t>Álcool em gel</t>
    </r>
    <r>
      <rPr>
        <sz val="9"/>
        <color theme="1"/>
        <rFont val="Arial"/>
        <family val="2"/>
      </rPr>
      <t>, anti séptico para as mãos, álcool etílico 70%.</t>
    </r>
  </si>
  <si>
    <r>
      <rPr>
        <b/>
        <sz val="9"/>
        <color theme="1"/>
        <rFont val="Arial"/>
        <family val="2"/>
      </rPr>
      <t>Álcool etílico líquido</t>
    </r>
    <r>
      <rPr>
        <sz val="9"/>
        <color theme="1"/>
        <rFont val="Arial"/>
        <family val="2"/>
      </rPr>
      <t>, 46º INPM.</t>
    </r>
  </si>
  <si>
    <r>
      <rPr>
        <b/>
        <sz val="9"/>
        <color theme="1"/>
        <rFont val="Arial"/>
        <family val="2"/>
      </rPr>
      <t>Desinfetante líquido</t>
    </r>
    <r>
      <rPr>
        <sz val="9"/>
        <color theme="1"/>
        <rFont val="Arial"/>
        <family val="2"/>
      </rPr>
      <t xml:space="preserve"> (Lisoform), para ser utilizado nos banheiros em substituição a água sanitária.</t>
    </r>
  </si>
  <si>
    <r>
      <rPr>
        <b/>
        <sz val="9"/>
        <color theme="1"/>
        <rFont val="Arial"/>
        <family val="2"/>
      </rPr>
      <t>Desinfetante</t>
    </r>
    <r>
      <rPr>
        <sz val="9"/>
        <color theme="1"/>
        <rFont val="Arial"/>
        <family val="2"/>
      </rPr>
      <t>. Contém hipoclorito de sódio, perfume e água. Usado para higienização.</t>
    </r>
  </si>
  <si>
    <r>
      <rPr>
        <b/>
        <sz val="9"/>
        <color theme="1"/>
        <rFont val="Arial"/>
        <family val="2"/>
      </rPr>
      <t xml:space="preserve">Desodorizador </t>
    </r>
    <r>
      <rPr>
        <sz val="9"/>
        <color theme="1"/>
        <rFont val="Arial"/>
        <family val="2"/>
      </rPr>
      <t>de ar 400 ml.</t>
    </r>
  </si>
  <si>
    <r>
      <rPr>
        <b/>
        <sz val="9"/>
        <color theme="1"/>
        <rFont val="Arial"/>
        <family val="2"/>
      </rPr>
      <t>Detergente clorado alcalino</t>
    </r>
    <r>
      <rPr>
        <sz val="9"/>
        <color theme="1"/>
        <rFont val="Arial"/>
        <family val="2"/>
      </rPr>
      <t>. Líquido límpido viscoso de coloração amarelada e odor característico, composto pela mistura de substância nocivas como Hidróxido de Sódio (10-20%), Hipoclorito de Sódio 12% (20 -30%). apresenta pH básico (12,0-14,0), teor de cloro de 2,40 - 2,60 e densidade a 25ºC de 1,100 a 1,200. Este detergente é solúvel em água.</t>
    </r>
  </si>
  <si>
    <r>
      <rPr>
        <b/>
        <sz val="9"/>
        <color theme="1"/>
        <rFont val="Arial"/>
        <family val="2"/>
      </rPr>
      <t>Detergente</t>
    </r>
    <r>
      <rPr>
        <sz val="9"/>
        <color theme="1"/>
        <rFont val="Arial"/>
        <family val="2"/>
      </rPr>
      <t>. Composição: pH neutro, biodegradável e outras substâncias. Líquido. Para uso na remoção de gordura e sujeira em geral.</t>
    </r>
  </si>
  <si>
    <r>
      <rPr>
        <b/>
        <sz val="9"/>
        <color theme="1"/>
        <rFont val="Arial"/>
        <family val="2"/>
      </rPr>
      <t>Fibra abrasiva para limpeza pesada</t>
    </r>
    <r>
      <rPr>
        <sz val="9"/>
        <color theme="1"/>
        <rFont val="Arial"/>
        <family val="2"/>
      </rPr>
      <t>. Possui coloração verde escura de abrasão intensa para utilização em superfícies que apresentam sujeiras persistentes, tais como pisos, paredes, etc. Dimensões mínimas 115 x 290 mm.</t>
    </r>
  </si>
  <si>
    <r>
      <rPr>
        <b/>
        <sz val="9"/>
        <color theme="1"/>
        <rFont val="Arial"/>
        <family val="2"/>
      </rPr>
      <t>Esponja dupla face</t>
    </r>
    <r>
      <rPr>
        <sz val="9"/>
        <color theme="1"/>
        <rFont val="Arial"/>
        <family val="2"/>
      </rPr>
      <t>. Material espuma/fibra sintética, formato retangular, comprimento mínimo 110 mm, largura mínima 75 mm, espessura mínima 20 mm. Aplicação na limpeza em geral.</t>
    </r>
  </si>
  <si>
    <r>
      <rPr>
        <b/>
        <sz val="9"/>
        <color theme="1"/>
        <rFont val="Arial"/>
        <family val="2"/>
      </rPr>
      <t xml:space="preserve">Flanela </t>
    </r>
    <r>
      <rPr>
        <sz val="9"/>
        <color theme="1"/>
        <rFont val="Arial"/>
        <family val="2"/>
      </rPr>
      <t>na cor laranja, 100% algodão, para uso geral. Tamanho mínimo 50 X 30 cm.</t>
    </r>
  </si>
  <si>
    <r>
      <rPr>
        <b/>
        <sz val="9"/>
        <color theme="1"/>
        <rFont val="Arial"/>
        <family val="2"/>
      </rPr>
      <t>Limpa vidros spray</t>
    </r>
    <r>
      <rPr>
        <sz val="9"/>
        <color theme="1"/>
        <rFont val="Arial"/>
        <family val="2"/>
      </rPr>
      <t>, com pulverizador roscável em forma de gatilho e reaproveitável. Composto a base de lauril éter sulfato de sódio. Frasco com 500 ml.</t>
    </r>
  </si>
  <si>
    <r>
      <rPr>
        <b/>
        <sz val="9"/>
        <color theme="1"/>
        <rFont val="Arial"/>
        <family val="2"/>
      </rPr>
      <t>Limpador de rejuntes</t>
    </r>
    <r>
      <rPr>
        <sz val="9"/>
        <color theme="1"/>
        <rFont val="Arial"/>
        <family val="2"/>
      </rPr>
      <t>.</t>
    </r>
  </si>
  <si>
    <r>
      <rPr>
        <b/>
        <sz val="9"/>
        <color theme="1"/>
        <rFont val="Arial"/>
        <family val="2"/>
      </rPr>
      <t>Limpador multiuso</t>
    </r>
    <r>
      <rPr>
        <sz val="9"/>
        <color theme="1"/>
        <rFont val="Arial"/>
        <family val="2"/>
      </rPr>
      <t xml:space="preserve"> e desengordurante para limpeza geral. Tampa tipo flip com bico dosador. Composição básica: alquil benzeno sulfonato de sódio, álcool etoxilado, coadjuvantes, água e conservante, fragrância.</t>
    </r>
  </si>
  <si>
    <r>
      <rPr>
        <b/>
        <sz val="9"/>
        <color theme="1"/>
        <rFont val="Arial"/>
        <family val="2"/>
      </rPr>
      <t xml:space="preserve">Mop </t>
    </r>
    <r>
      <rPr>
        <sz val="9"/>
        <color theme="1"/>
        <rFont val="Arial"/>
        <family val="2"/>
      </rPr>
      <t>para pó/seco tamanho grande.</t>
    </r>
  </si>
  <si>
    <r>
      <rPr>
        <b/>
        <sz val="9"/>
        <color theme="1"/>
        <rFont val="Arial"/>
        <family val="2"/>
      </rPr>
      <t>Naftalina</t>
    </r>
    <r>
      <rPr>
        <sz val="9"/>
        <color theme="1"/>
        <rFont val="Arial"/>
        <family val="2"/>
      </rPr>
      <t>.</t>
    </r>
  </si>
  <si>
    <r>
      <rPr>
        <b/>
        <sz val="9"/>
        <color theme="1"/>
        <rFont val="Arial"/>
        <family val="2"/>
      </rPr>
      <t>Papel higiênico picotado</t>
    </r>
    <r>
      <rPr>
        <sz val="9"/>
        <color theme="1"/>
        <rFont val="Arial"/>
        <family val="2"/>
      </rPr>
      <t>, folha dupla, 30 metros em pacotes com 04 unidades. Dimensões 0,10 x 30 m. Papel 100% celulose</t>
    </r>
  </si>
  <si>
    <r>
      <rPr>
        <b/>
        <sz val="9"/>
        <color theme="1"/>
        <rFont val="Arial"/>
        <family val="2"/>
      </rPr>
      <t>Pastilha adesiva</t>
    </r>
    <r>
      <rPr>
        <sz val="9"/>
        <color theme="1"/>
        <rFont val="Arial"/>
        <family val="2"/>
      </rPr>
      <t xml:space="preserve"> desinfetante para vaso sanitário.</t>
    </r>
  </si>
  <si>
    <r>
      <rPr>
        <b/>
        <sz val="9"/>
        <color theme="1"/>
        <rFont val="Arial"/>
        <family val="2"/>
      </rPr>
      <t>Querosene</t>
    </r>
    <r>
      <rPr>
        <sz val="9"/>
        <color theme="1"/>
        <rFont val="Arial"/>
        <family val="2"/>
      </rPr>
      <t>.</t>
    </r>
  </si>
  <si>
    <r>
      <rPr>
        <b/>
        <sz val="9"/>
        <color theme="1"/>
        <rFont val="Arial"/>
        <family val="2"/>
      </rPr>
      <t>Sabão em barra</t>
    </r>
    <r>
      <rPr>
        <sz val="9"/>
        <color theme="1"/>
        <rFont val="Arial"/>
        <family val="2"/>
      </rPr>
      <t xml:space="preserve"> 200 gramas. Glicerinado, neutro, multiuso, biodegradável, para limpeza em geral.</t>
    </r>
  </si>
  <si>
    <r>
      <rPr>
        <b/>
        <sz val="9"/>
        <color theme="1"/>
        <rFont val="Arial"/>
        <family val="2"/>
      </rPr>
      <t>Sabão em pó</t>
    </r>
    <r>
      <rPr>
        <sz val="9"/>
        <color theme="1"/>
        <rFont val="Arial"/>
        <family val="2"/>
      </rPr>
      <t>. Biodegradável com amaciante. Aplicação: lavar roupa e limpeza geral. Embalagem com 1 kg.</t>
    </r>
  </si>
  <si>
    <r>
      <rPr>
        <b/>
        <sz val="9"/>
        <color theme="1"/>
        <rFont val="Arial"/>
        <family val="2"/>
      </rPr>
      <t>Sabonete líquido</t>
    </r>
    <r>
      <rPr>
        <sz val="9"/>
        <color theme="1"/>
        <rFont val="Arial"/>
        <family val="2"/>
      </rPr>
      <t>, hidratante e com fragrância.</t>
    </r>
  </si>
  <si>
    <r>
      <rPr>
        <b/>
        <sz val="9"/>
        <color theme="1"/>
        <rFont val="Arial"/>
        <family val="2"/>
      </rPr>
      <t>Saco alvejado</t>
    </r>
    <r>
      <rPr>
        <sz val="9"/>
        <color theme="1"/>
        <rFont val="Arial"/>
        <family val="2"/>
      </rPr>
      <t>. Características: duplo, material 100% algodão, tipo alvejado, tamanho mínimo de 50 x 70 cm.</t>
    </r>
  </si>
  <si>
    <r>
      <rPr>
        <b/>
        <sz val="9"/>
        <color theme="1"/>
        <rFont val="Arial"/>
        <family val="2"/>
      </rPr>
      <t>Saco plástico para lixo. Capacidade 100 litros</t>
    </r>
    <r>
      <rPr>
        <sz val="9"/>
        <color theme="1"/>
        <rFont val="Arial"/>
        <family val="2"/>
      </rPr>
      <t>, cor preta. Largura mínima 75 cm e altura mínima 100 cm. Material polietileno, opaco, super resistente. Aplicação coleta de lixo.</t>
    </r>
  </si>
  <si>
    <r>
      <rPr>
        <b/>
        <sz val="9"/>
        <color theme="1"/>
        <rFont val="Arial"/>
        <family val="2"/>
      </rPr>
      <t>Saco plástico para lixo. Capacidade 40 litros</t>
    </r>
    <r>
      <rPr>
        <sz val="9"/>
        <color theme="1"/>
        <rFont val="Arial"/>
        <family val="2"/>
      </rPr>
      <t>, cor preta. Largura mínima 75 cm e altura mínima 100 cm. Material polietileno. Para uso doméstico. Pacote com 100 unidades.</t>
    </r>
  </si>
  <si>
    <r>
      <rPr>
        <b/>
        <sz val="9"/>
        <color theme="1"/>
        <rFont val="Arial"/>
        <family val="2"/>
      </rPr>
      <t>Saponáceo líquido cremoso</t>
    </r>
    <r>
      <rPr>
        <sz val="9"/>
        <color theme="1"/>
        <rFont val="Arial"/>
        <family val="2"/>
      </rPr>
      <t>, limpeza e brilho sem riscar. Composição: linear arquibenzeno, sulfonato de sódio.</t>
    </r>
  </si>
  <si>
    <r>
      <rPr>
        <b/>
        <sz val="9"/>
        <color theme="1"/>
        <rFont val="Arial"/>
        <family val="2"/>
      </rPr>
      <t>Balde plástico</t>
    </r>
    <r>
      <rPr>
        <sz val="9"/>
        <color theme="1"/>
        <rFont val="Arial"/>
        <family val="2"/>
      </rPr>
      <t xml:space="preserve"> com capacidade para 15 litros. Material plástico com alça metálica, sem tampa, formato cilíndrico, para uso geral.</t>
    </r>
  </si>
  <si>
    <r>
      <rPr>
        <b/>
        <sz val="9"/>
        <color theme="1"/>
        <rFont val="Arial"/>
        <family val="2"/>
      </rPr>
      <t xml:space="preserve">Dispenser </t>
    </r>
    <r>
      <rPr>
        <sz val="9"/>
        <color theme="1"/>
        <rFont val="Arial"/>
        <family val="2"/>
      </rPr>
      <t>para sabonete líquido e álcool em gel, plástico branco, capacidade para 800ml, para fixação na parede, acionamento manual.</t>
    </r>
  </si>
  <si>
    <r>
      <rPr>
        <b/>
        <sz val="9"/>
        <color theme="1"/>
        <rFont val="Arial"/>
        <family val="2"/>
      </rPr>
      <t>Escova oval para lavar roupa</t>
    </r>
    <r>
      <rPr>
        <sz val="9"/>
        <color theme="1"/>
        <rFont val="Arial"/>
        <family val="2"/>
      </rPr>
      <t>. Material: corpo de madeira, tratamento superficial envernizado, cerdas sintéticas.</t>
    </r>
  </si>
  <si>
    <r>
      <rPr>
        <b/>
        <sz val="9"/>
        <color theme="1"/>
        <rFont val="Arial"/>
        <family val="2"/>
      </rPr>
      <t>Escova para vaso sanitário</t>
    </r>
    <r>
      <rPr>
        <sz val="9"/>
        <color theme="1"/>
        <rFont val="Arial"/>
        <family val="2"/>
      </rPr>
      <t>, cabo em plástico resistente.</t>
    </r>
  </si>
  <si>
    <r>
      <rPr>
        <b/>
        <sz val="9"/>
        <color theme="1"/>
        <rFont val="Arial"/>
        <family val="2"/>
      </rPr>
      <t>Espanador de pó</t>
    </r>
    <r>
      <rPr>
        <sz val="9"/>
        <color theme="1"/>
        <rFont val="Arial"/>
        <family val="2"/>
      </rPr>
      <t>. Cabo em madeira, comprimento mínimo do cabo, 40 cm.</t>
    </r>
  </si>
  <si>
    <r>
      <rPr>
        <b/>
        <sz val="9"/>
        <color theme="1"/>
        <rFont val="Arial"/>
        <family val="2"/>
      </rPr>
      <t xml:space="preserve">Extensão elétrica </t>
    </r>
    <r>
      <rPr>
        <sz val="9"/>
        <color theme="1"/>
        <rFont val="Arial"/>
        <family val="2"/>
      </rPr>
      <t>50 metros.</t>
    </r>
  </si>
  <si>
    <r>
      <rPr>
        <b/>
        <sz val="9"/>
        <color theme="1"/>
        <rFont val="Arial"/>
        <family val="2"/>
      </rPr>
      <t>Extensor telescópio</t>
    </r>
    <r>
      <rPr>
        <sz val="9"/>
        <color theme="1"/>
        <rFont val="Arial"/>
        <family val="2"/>
      </rPr>
      <t xml:space="preserve"> para limpeza em altura, extensível de 2,5 a 5,0 metros, produzido em alumínio.</t>
    </r>
  </si>
  <si>
    <r>
      <rPr>
        <b/>
        <sz val="9"/>
        <color theme="1"/>
        <rFont val="Arial"/>
        <family val="2"/>
      </rPr>
      <t xml:space="preserve">Lixeira </t>
    </r>
    <r>
      <rPr>
        <sz val="9"/>
        <color theme="1"/>
        <rFont val="Arial"/>
        <family val="2"/>
      </rPr>
      <t xml:space="preserve">plástica quadrada, fabricada em Polietileno de Alta Densidade (PEAD) ou Polipropileno (PP) de alta resistência e durabilidade,com pedal para abertura,com articulação para facilitar a fixação do saco de lixo, medidas aprox. 31cm de comprimento x 29cm de largura x 34cm de altura, capacidade </t>
    </r>
    <r>
      <rPr>
        <b/>
        <sz val="9"/>
        <color theme="1"/>
        <rFont val="Arial"/>
        <family val="2"/>
      </rPr>
      <t>15 litros</t>
    </r>
    <r>
      <rPr>
        <sz val="9"/>
        <color theme="1"/>
        <rFont val="Arial"/>
        <family val="2"/>
      </rPr>
      <t>.</t>
    </r>
  </si>
  <si>
    <r>
      <rPr>
        <b/>
        <sz val="9"/>
        <color theme="1"/>
        <rFont val="Arial"/>
        <family val="2"/>
      </rPr>
      <t xml:space="preserve">Lixeira </t>
    </r>
    <r>
      <rPr>
        <sz val="9"/>
        <color theme="1"/>
        <rFont val="Arial"/>
        <family val="2"/>
      </rPr>
      <t xml:space="preserve">plástica quadrada, fabricada em Polietileno de Alta Densidade (PEAD) ou Polipropileno (PP) de alta resistência e durabilidade,com pedal para abertura,com articulação para facilitar a fixação do saco de lixo, medidas aprox. 71 cm x 45 cm, capacidade </t>
    </r>
    <r>
      <rPr>
        <b/>
        <sz val="9"/>
        <color theme="1"/>
        <rFont val="Arial"/>
        <family val="2"/>
      </rPr>
      <t>50 litros.</t>
    </r>
  </si>
  <si>
    <r>
      <rPr>
        <b/>
        <sz val="9"/>
        <color theme="1"/>
        <rFont val="Arial"/>
        <family val="2"/>
      </rPr>
      <t>Mangueira de jardim</t>
    </r>
    <r>
      <rPr>
        <sz val="9"/>
        <color theme="1"/>
        <rFont val="Arial"/>
        <family val="2"/>
      </rPr>
      <t xml:space="preserve"> com 50 metros, anti torção, reforçada, com conexões de engate rápido inclusas.</t>
    </r>
  </si>
  <si>
    <r>
      <rPr>
        <b/>
        <sz val="9"/>
        <color theme="1"/>
        <rFont val="Arial"/>
        <family val="2"/>
      </rPr>
      <t>Pá para lixo</t>
    </r>
    <r>
      <rPr>
        <sz val="9"/>
        <color theme="1"/>
        <rFont val="Arial"/>
        <family val="2"/>
      </rPr>
      <t xml:space="preserve"> de uso doméstico. Material coletor plástico, material cabo plástico, medindo no mínimo 1,20 cm. Quantidade de borrachas: 02.</t>
    </r>
  </si>
  <si>
    <r>
      <rPr>
        <b/>
        <sz val="9"/>
        <color theme="1"/>
        <rFont val="Arial"/>
        <family val="2"/>
      </rPr>
      <t xml:space="preserve">Papeleiras </t>
    </r>
    <r>
      <rPr>
        <sz val="9"/>
        <color theme="1"/>
        <rFont val="Arial"/>
        <family val="2"/>
      </rPr>
      <t>para papel toalha 2 dobras, na cor branca.</t>
    </r>
  </si>
  <si>
    <r>
      <rPr>
        <b/>
        <sz val="9"/>
        <color theme="1"/>
        <rFont val="Arial"/>
        <family val="2"/>
      </rPr>
      <t xml:space="preserve">Placas </t>
    </r>
    <r>
      <rPr>
        <sz val="9"/>
        <color theme="1"/>
        <rFont val="Arial"/>
        <family val="2"/>
      </rPr>
      <t>sinalizadoras “piso molhado”.</t>
    </r>
  </si>
  <si>
    <t>Tipo de Ambiente (preencher conforme coluna L)</t>
  </si>
  <si>
    <t>Validade da Proposta:</t>
  </si>
  <si>
    <t>Orçamento Estimativo Item 01 - Reitoria</t>
  </si>
  <si>
    <t>Centrífuga de roupas, com capacidade mínima de 10,5kg, com no mínimo 1800 RPM, 220V.</t>
  </si>
  <si>
    <t>Escada multifuncional, 4x4, articulada, 14 a 17 degraus, de alumínio, suporta até 150kg, com pés antiderrapantes.</t>
  </si>
  <si>
    <r>
      <rPr>
        <sz val="9"/>
        <color rgb="FF000000"/>
        <rFont val="Arial"/>
        <family val="2"/>
      </rPr>
      <t>Lavadora tipo tanquinho, semiautomática, com tampa, desligamento automático, capacidade mínima de 7kg, 220V.</t>
    </r>
    <r>
      <rPr>
        <sz val="9"/>
        <color rgb="FFFF0000"/>
        <rFont val="Arial"/>
        <family val="2"/>
      </rPr>
      <t xml:space="preserve"> </t>
    </r>
  </si>
  <si>
    <t>Varal de chão com abas em aço; medidas aproximadas 94X56X152 cm.</t>
  </si>
  <si>
    <r>
      <rPr>
        <b/>
        <sz val="9"/>
        <color rgb="FF000000"/>
        <rFont val="Arial"/>
        <family val="2"/>
      </rPr>
      <t>Detergente líquido</t>
    </r>
    <r>
      <rPr>
        <sz val="9"/>
        <color rgb="FF000000"/>
        <rFont val="Arial"/>
        <family val="2"/>
      </rPr>
      <t>, neutro, para lavar louças.</t>
    </r>
  </si>
  <si>
    <r>
      <rPr>
        <b/>
        <sz val="9"/>
        <color rgb="FF000000"/>
        <rFont val="Arial"/>
        <family val="2"/>
      </rPr>
      <t>Esponja Lã de aço carbono</t>
    </r>
    <r>
      <rPr>
        <sz val="9"/>
        <color rgb="FF000000"/>
        <rFont val="Arial"/>
        <family val="2"/>
      </rPr>
      <t>, de textura macia, isenta de sinais de oxidação, em embalagem com 8 unidades.</t>
    </r>
  </si>
  <si>
    <r>
      <rPr>
        <b/>
        <sz val="9"/>
        <color rgb="FF000000"/>
        <rFont val="Arial"/>
        <family val="2"/>
      </rPr>
      <t>Lustra móveis</t>
    </r>
    <r>
      <rPr>
        <sz val="9"/>
        <color rgb="FF000000"/>
        <rFont val="Arial"/>
        <family val="2"/>
      </rPr>
      <t xml:space="preserve"> - aplicação: móveis de madeira em geral; composição: à base de óleos minerais e vegetais. O produto deve proporcionar brilho seco, lustrar e perfumar.</t>
    </r>
  </si>
  <si>
    <r>
      <rPr>
        <b/>
        <sz val="9"/>
        <color rgb="FF000000"/>
        <rFont val="Arial"/>
        <family val="2"/>
      </rPr>
      <t>Papel toalha</t>
    </r>
    <r>
      <rPr>
        <sz val="9"/>
        <color rgb="FF000000"/>
        <rFont val="Arial"/>
        <family val="2"/>
      </rPr>
      <t>, interfolhas, 2 dobras, não reciclado, alta absorção, folha simples alta qualidade, gofrado, com 100% de fibras celulósicas virgens, na cor branca, sem fragrância, largura mínima de 22 cm e máxima de 23 cm, comprimento mínimo de 20 cm e máxima de 23 cm.</t>
    </r>
    <r>
      <rPr>
        <sz val="9"/>
        <color rgb="FFFF0000"/>
        <rFont val="Arial"/>
        <family val="2"/>
      </rPr>
      <t xml:space="preserve"> </t>
    </r>
  </si>
  <si>
    <t xml:space="preserve">Produto em aerossol para proporcionar limpeza e brilho em superfícies de aço inox, alumínio e partes cromadas, tipo Brilha Inox Aerosol 3M ou similar. </t>
  </si>
  <si>
    <r>
      <rPr>
        <b/>
        <sz val="9"/>
        <color rgb="FF000000"/>
        <rFont val="Arial"/>
        <family val="2"/>
      </rPr>
      <t>Saco plástico para lixo</t>
    </r>
    <r>
      <rPr>
        <sz val="9"/>
        <color rgb="FF000000"/>
        <rFont val="Arial"/>
        <family val="2"/>
      </rPr>
      <t xml:space="preserve">, cor preta, material plástico biodegradável, micragem 0,05, com capacidade para </t>
    </r>
    <r>
      <rPr>
        <b/>
        <sz val="9"/>
        <color rgb="FF000000"/>
        <rFont val="Arial"/>
        <family val="2"/>
      </rPr>
      <t>50 litros cada</t>
    </r>
    <r>
      <rPr>
        <sz val="9"/>
        <color rgb="FF000000"/>
        <rFont val="Arial"/>
        <family val="2"/>
      </rPr>
      <t xml:space="preserve"> (variação aceitável de até 10%).</t>
    </r>
    <r>
      <rPr>
        <sz val="9"/>
        <color rgb="FFFF0000"/>
        <rFont val="Arial"/>
        <family val="2"/>
      </rPr>
      <t xml:space="preserve"> </t>
    </r>
  </si>
  <si>
    <r>
      <rPr>
        <b/>
        <sz val="9"/>
        <color rgb="FF000000"/>
        <rFont val="Arial"/>
        <family val="2"/>
      </rPr>
      <t>Saco plástico para lixo, capacidade 30 litros</t>
    </r>
    <r>
      <rPr>
        <sz val="9"/>
        <color rgb="FF000000"/>
        <rFont val="Arial"/>
        <family val="2"/>
      </rPr>
      <t>, cor preta, material polietileno, para uso doméstico, pacote com 100 unidades.</t>
    </r>
  </si>
  <si>
    <r>
      <rPr>
        <b/>
        <sz val="9"/>
        <color rgb="FF000000"/>
        <rFont val="Arial"/>
        <family val="2"/>
      </rPr>
      <t>Rodo com cabo rosqueável</t>
    </r>
    <r>
      <rPr>
        <sz val="9"/>
        <color rgb="FF000000"/>
        <rFont val="Arial"/>
        <family val="2"/>
      </rPr>
      <t>. Material cabo plástico. Material suporte plástico ou metal com comprimento de 60 cm, cabo com no mínimo 1,20cm. Quantidade de borrachas 2.</t>
    </r>
  </si>
  <si>
    <r>
      <rPr>
        <b/>
        <sz val="9"/>
        <color rgb="FF000000"/>
        <rFont val="Arial"/>
        <family val="2"/>
      </rPr>
      <t>Rodo Limpa Vidros Telescópico</t>
    </r>
    <r>
      <rPr>
        <sz val="9"/>
        <color rgb="FF000000"/>
        <rFont val="Arial"/>
        <family val="2"/>
      </rPr>
      <t>, Cabo Extensor com no mínimo 3 Metros de comprimento para janelas altas.</t>
    </r>
  </si>
  <si>
    <r>
      <rPr>
        <b/>
        <sz val="9"/>
        <color rgb="FF000000"/>
        <rFont val="Arial"/>
        <family val="2"/>
      </rPr>
      <t>Vassoura nylon cabo rosqueável</t>
    </r>
    <r>
      <rPr>
        <sz val="9"/>
        <color rgb="FF000000"/>
        <rFont val="Arial"/>
        <family val="2"/>
      </rPr>
      <t>, com cepa em polipropileno com no mínimo 26 cm com cerdas de nylon felpudas nas pontas, composta de no mínimo de 60 tufos, organizados no mínimo de 4 por 15 fileiras e cada tufos formados por no mínimo de 14 cerdas de nylon macio e flexível com pontas de comprimento mínimo de 14 cm, cabo de madeira ou tubo metálico com 120 /-5 cm de comprimento, revestido de película plástica, impermeável e ponta de plástico com rosca para fixar na vassoura.</t>
    </r>
  </si>
  <si>
    <r>
      <rPr>
        <b/>
        <sz val="9"/>
        <color rgb="FF000000"/>
        <rFont val="Arial"/>
        <family val="2"/>
      </rPr>
      <t>Vassoura de palha/piaçava</t>
    </r>
    <r>
      <rPr>
        <sz val="9"/>
        <color rgb="FF000000"/>
        <rFont val="Arial"/>
        <family val="2"/>
      </rPr>
      <t>, com cabo em madeira.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</si>
</sst>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"/>
    <numFmt numFmtId="165" formatCode="_-* #,##0_-;\-* #,##0_-;_-* \-??_-;_-@"/>
    <numFmt numFmtId="166" formatCode="m/d/yyyy"/>
    <numFmt numFmtId="167" formatCode="[$R$ -416]#,##0.00"/>
    <numFmt numFmtId="168" formatCode="_-* #,##0.00_-;\-* #,##0.00_-;_-* &quot;-&quot;??_-;_-@"/>
    <numFmt numFmtId="169" formatCode="&quot;R$ &quot;#,##0.00\ ;&quot;(R$ &quot;#,##0.00\)"/>
    <numFmt numFmtId="170" formatCode="_-&quot;R$&quot;\ * #,##0.00_-;\-&quot;R$&quot;\ * #,##0.00_-;_-&quot;R$&quot;\ * &quot;-&quot;??_-;_-@"/>
    <numFmt numFmtId="171" formatCode="#,##0.00000000"/>
    <numFmt numFmtId="172" formatCode="[$R$-416]\ #,##0.00;[Red]\-[$R$-416]\ #,##0.00"/>
    <numFmt numFmtId="173" formatCode="0.00000000"/>
    <numFmt numFmtId="174" formatCode="0.0000"/>
    <numFmt numFmtId="175" formatCode="0.000000%"/>
    <numFmt numFmtId="176" formatCode="_-* #,##0.00_-;\-* #,##0.00_-;_-* \-??_-;_-@"/>
    <numFmt numFmtId="177" formatCode="&quot;R$ &quot;#,##0.00&quot; &quot;;&quot;(R$ &quot;#,##0.00&quot;)&quot;"/>
    <numFmt numFmtId="178" formatCode="&quot;R$&quot;\ #,##0.00"/>
  </numFmts>
  <fonts count="34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8"/>
      <color theme="1"/>
      <name val="Arial Narrow"/>
      <family val="2"/>
    </font>
    <font>
      <sz val="8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color rgb="FF000000"/>
      <name val="Calibri"/>
      <family val="2"/>
      <scheme val="minor"/>
    </font>
    <font>
      <b/>
      <sz val="10"/>
      <color theme="1"/>
      <name val="Liberation Sans"/>
      <family val="2"/>
    </font>
    <font>
      <b/>
      <sz val="10"/>
      <color rgb="FF000000"/>
      <name val="Calibri11"/>
    </font>
    <font>
      <sz val="10"/>
      <color theme="1"/>
      <name val="Liberation Sans"/>
      <family val="2"/>
    </font>
    <font>
      <sz val="10"/>
      <color rgb="FF000000"/>
      <name val="Liberation Sans"/>
      <family val="2"/>
    </font>
    <font>
      <b/>
      <sz val="10"/>
      <color rgb="FF5F497A"/>
      <name val="Liberation Sans"/>
      <family val="2"/>
    </font>
    <font>
      <b/>
      <sz val="10"/>
      <color rgb="FF000000"/>
      <name val="Liberation Sans"/>
      <family val="2"/>
    </font>
    <font>
      <sz val="10"/>
      <name val="Liberation Sans"/>
      <family val="2"/>
    </font>
    <font>
      <sz val="12"/>
      <color rgb="FF000000"/>
      <name val="Arial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70C0"/>
      <name val="Arial Narrow"/>
      <family val="2"/>
    </font>
    <font>
      <b/>
      <sz val="8"/>
      <color rgb="FF0070C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0070C0"/>
      <name val="Arial"/>
      <family val="2"/>
    </font>
    <font>
      <sz val="9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0"/>
      <color theme="1"/>
      <name val="Arial"/>
    </font>
  </fonts>
  <fills count="2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E599"/>
        <bgColor rgb="FFFFE599"/>
      </patternFill>
    </fill>
    <fill>
      <patternFill patternType="solid">
        <fgColor rgb="FFFFD966"/>
        <bgColor rgb="FFFFD966"/>
      </patternFill>
    </fill>
    <fill>
      <patternFill patternType="solid">
        <fgColor rgb="FFD8D8D8"/>
        <bgColor rgb="FFD8D8D8"/>
      </patternFill>
    </fill>
    <fill>
      <patternFill patternType="solid">
        <fgColor rgb="FFFFFFD6"/>
        <bgColor rgb="FFFFFFD6"/>
      </patternFill>
    </fill>
    <fill>
      <patternFill patternType="solid">
        <fgColor rgb="FFF2F2F2"/>
        <bgColor rgb="FFF2F2F2"/>
      </patternFill>
    </fill>
    <fill>
      <patternFill patternType="solid">
        <fgColor rgb="FFEFEFEF"/>
        <bgColor rgb="FFEFEFEF"/>
      </patternFill>
    </fill>
    <fill>
      <patternFill patternType="solid">
        <fgColor rgb="FFDAEEF3"/>
        <bgColor rgb="FFDAEEF3"/>
      </patternFill>
    </fill>
    <fill>
      <patternFill patternType="solid">
        <fgColor rgb="FFD9D9D9"/>
        <bgColor rgb="FFD9D9D9"/>
      </patternFill>
    </fill>
    <fill>
      <patternFill patternType="solid">
        <fgColor rgb="FF000000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0E67FF"/>
        <bgColor rgb="FF0E67FF"/>
      </patternFill>
    </fill>
    <fill>
      <patternFill patternType="solid">
        <fgColor theme="4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F2F2F2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4" tint="0.39997558519241921"/>
        <bgColor theme="0"/>
      </patternFill>
    </fill>
    <fill>
      <patternFill patternType="solid">
        <fgColor theme="2" tint="-0.14999847407452621"/>
        <bgColor rgb="FFFFD966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39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3" fillId="0" borderId="7" xfId="0" applyNumberFormat="1" applyFont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169" fontId="8" fillId="0" borderId="0" xfId="0" applyNumberFormat="1" applyFont="1"/>
    <xf numFmtId="170" fontId="8" fillId="0" borderId="0" xfId="0" applyNumberFormat="1" applyFont="1"/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left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/>
    </xf>
    <xf numFmtId="0" fontId="9" fillId="7" borderId="16" xfId="0" applyFont="1" applyFill="1" applyBorder="1" applyAlignment="1">
      <alignment horizontal="left"/>
    </xf>
    <xf numFmtId="0" fontId="9" fillId="7" borderId="17" xfId="0" applyFont="1" applyFill="1" applyBorder="1" applyAlignment="1">
      <alignment horizontal="left" vertical="center" wrapText="1"/>
    </xf>
    <xf numFmtId="0" fontId="9" fillId="7" borderId="17" xfId="0" applyFont="1" applyFill="1" applyBorder="1"/>
    <xf numFmtId="172" fontId="9" fillId="7" borderId="17" xfId="0" applyNumberFormat="1" applyFont="1" applyFill="1" applyBorder="1"/>
    <xf numFmtId="0" fontId="8" fillId="0" borderId="12" xfId="0" applyFont="1" applyBorder="1" applyAlignment="1">
      <alignment horizontal="left"/>
    </xf>
    <xf numFmtId="0" fontId="8" fillId="0" borderId="12" xfId="0" applyFont="1" applyBorder="1"/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left" vertical="center"/>
    </xf>
    <xf numFmtId="172" fontId="8" fillId="0" borderId="0" xfId="0" applyNumberFormat="1" applyFont="1"/>
    <xf numFmtId="0" fontId="8" fillId="0" borderId="12" xfId="0" applyFont="1" applyBorder="1" applyAlignment="1">
      <alignment horizontal="center" vertical="center"/>
    </xf>
    <xf numFmtId="3" fontId="8" fillId="0" borderId="12" xfId="0" applyNumberFormat="1" applyFont="1" applyBorder="1" applyAlignment="1">
      <alignment horizontal="center" vertical="center"/>
    </xf>
    <xf numFmtId="3" fontId="8" fillId="0" borderId="12" xfId="0" applyNumberFormat="1" applyFont="1" applyBorder="1" applyAlignment="1">
      <alignment horizontal="center"/>
    </xf>
    <xf numFmtId="0" fontId="8" fillId="0" borderId="13" xfId="0" applyFont="1" applyBorder="1" applyAlignment="1">
      <alignment horizontal="left" vertical="center"/>
    </xf>
    <xf numFmtId="4" fontId="8" fillId="0" borderId="12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74" fontId="8" fillId="0" borderId="0" xfId="0" applyNumberFormat="1" applyFont="1" applyAlignment="1">
      <alignment horizontal="center"/>
    </xf>
    <xf numFmtId="172" fontId="8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169" fontId="9" fillId="0" borderId="0" xfId="0" applyNumberFormat="1" applyFont="1" applyAlignment="1">
      <alignment horizontal="center"/>
    </xf>
    <xf numFmtId="174" fontId="9" fillId="0" borderId="0" xfId="0" applyNumberFormat="1" applyFont="1" applyAlignment="1">
      <alignment horizontal="center"/>
    </xf>
    <xf numFmtId="0" fontId="8" fillId="0" borderId="13" xfId="0" applyFont="1" applyBorder="1"/>
    <xf numFmtId="0" fontId="8" fillId="0" borderId="14" xfId="0" applyFont="1" applyBorder="1"/>
    <xf numFmtId="0" fontId="10" fillId="0" borderId="0" xfId="0" applyFont="1"/>
    <xf numFmtId="0" fontId="8" fillId="0" borderId="14" xfId="0" applyFont="1" applyBorder="1" applyAlignment="1">
      <alignment horizontal="left" vertical="center"/>
    </xf>
    <xf numFmtId="0" fontId="0" fillId="0" borderId="0" xfId="0" applyAlignment="1">
      <alignment horizontal="center"/>
    </xf>
    <xf numFmtId="177" fontId="0" fillId="0" borderId="0" xfId="0" applyNumberFormat="1"/>
    <xf numFmtId="0" fontId="14" fillId="0" borderId="0" xfId="0" applyFont="1" applyAlignment="1">
      <alignment horizontal="left"/>
    </xf>
    <xf numFmtId="0" fontId="14" fillId="0" borderId="0" xfId="0" applyFont="1"/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/>
    </xf>
    <xf numFmtId="0" fontId="11" fillId="13" borderId="20" xfId="0" applyFont="1" applyFill="1" applyBorder="1" applyAlignment="1">
      <alignment horizontal="left" vertical="center" wrapText="1"/>
    </xf>
    <xf numFmtId="0" fontId="9" fillId="16" borderId="12" xfId="0" applyFont="1" applyFill="1" applyBorder="1" applyAlignment="1">
      <alignment horizontal="left" vertical="center"/>
    </xf>
    <xf numFmtId="0" fontId="9" fillId="16" borderId="12" xfId="0" applyFont="1" applyFill="1" applyBorder="1" applyAlignment="1">
      <alignment horizontal="center" vertical="center" wrapText="1"/>
    </xf>
    <xf numFmtId="0" fontId="9" fillId="16" borderId="12" xfId="0" applyFont="1" applyFill="1" applyBorder="1" applyAlignment="1">
      <alignment horizontal="center" vertical="center"/>
    </xf>
    <xf numFmtId="0" fontId="8" fillId="16" borderId="12" xfId="0" applyFont="1" applyFill="1" applyBorder="1" applyAlignment="1">
      <alignment horizontal="center" vertical="center"/>
    </xf>
    <xf numFmtId="0" fontId="8" fillId="16" borderId="12" xfId="0" applyFont="1" applyFill="1" applyBorder="1" applyAlignment="1">
      <alignment horizontal="center" vertical="center" wrapText="1"/>
    </xf>
    <xf numFmtId="172" fontId="9" fillId="16" borderId="0" xfId="0" applyNumberFormat="1" applyFont="1" applyFill="1" applyAlignment="1">
      <alignment vertical="center"/>
    </xf>
    <xf numFmtId="169" fontId="9" fillId="16" borderId="12" xfId="0" applyNumberFormat="1" applyFont="1" applyFill="1" applyBorder="1" applyAlignment="1">
      <alignment horizontal="center" vertical="center"/>
    </xf>
    <xf numFmtId="0" fontId="8" fillId="16" borderId="0" xfId="0" applyFont="1" applyFill="1" applyAlignment="1">
      <alignment horizontal="center" vertical="center" wrapText="1"/>
    </xf>
    <xf numFmtId="169" fontId="8" fillId="16" borderId="12" xfId="0" applyNumberFormat="1" applyFont="1" applyFill="1" applyBorder="1" applyAlignment="1">
      <alignment horizontal="center" vertical="center"/>
    </xf>
    <xf numFmtId="0" fontId="8" fillId="17" borderId="0" xfId="0" applyFont="1" applyFill="1" applyAlignment="1">
      <alignment horizontal="center"/>
    </xf>
    <xf numFmtId="0" fontId="8" fillId="17" borderId="0" xfId="0" applyFont="1" applyFill="1"/>
    <xf numFmtId="172" fontId="8" fillId="17" borderId="0" xfId="0" applyNumberFormat="1" applyFont="1" applyFill="1" applyAlignment="1">
      <alignment horizontal="center"/>
    </xf>
    <xf numFmtId="4" fontId="8" fillId="17" borderId="0" xfId="0" applyNumberFormat="1" applyFont="1" applyFill="1" applyAlignment="1">
      <alignment horizontal="center"/>
    </xf>
    <xf numFmtId="169" fontId="9" fillId="17" borderId="0" xfId="0" applyNumberFormat="1" applyFont="1" applyFill="1" applyAlignment="1">
      <alignment horizontal="center"/>
    </xf>
    <xf numFmtId="174" fontId="9" fillId="17" borderId="0" xfId="0" applyNumberFormat="1" applyFont="1" applyFill="1" applyAlignment="1">
      <alignment horizontal="center"/>
    </xf>
    <xf numFmtId="0" fontId="9" fillId="18" borderId="16" xfId="0" applyFont="1" applyFill="1" applyBorder="1"/>
    <xf numFmtId="0" fontId="9" fillId="18" borderId="17" xfId="0" applyFont="1" applyFill="1" applyBorder="1"/>
    <xf numFmtId="0" fontId="9" fillId="18" borderId="18" xfId="0" applyFont="1" applyFill="1" applyBorder="1"/>
    <xf numFmtId="0" fontId="9" fillId="0" borderId="0" xfId="0" applyFont="1" applyAlignment="1">
      <alignment horizontal="left"/>
    </xf>
    <xf numFmtId="171" fontId="8" fillId="0" borderId="15" xfId="0" applyNumberFormat="1" applyFont="1" applyBorder="1" applyAlignment="1">
      <alignment horizontal="center"/>
    </xf>
    <xf numFmtId="0" fontId="9" fillId="7" borderId="17" xfId="0" applyFont="1" applyFill="1" applyBorder="1" applyAlignment="1">
      <alignment horizontal="center"/>
    </xf>
    <xf numFmtId="172" fontId="9" fillId="7" borderId="17" xfId="0" applyNumberFormat="1" applyFont="1" applyFill="1" applyBorder="1" applyAlignment="1">
      <alignment horizontal="center"/>
    </xf>
    <xf numFmtId="171" fontId="8" fillId="0" borderId="12" xfId="0" applyNumberFormat="1" applyFont="1" applyBorder="1" applyAlignment="1">
      <alignment horizontal="center"/>
    </xf>
    <xf numFmtId="171" fontId="8" fillId="0" borderId="12" xfId="0" applyNumberFormat="1" applyFont="1" applyBorder="1" applyAlignment="1">
      <alignment horizontal="center" vertical="center"/>
    </xf>
    <xf numFmtId="171" fontId="8" fillId="0" borderId="0" xfId="0" applyNumberFormat="1" applyFont="1" applyAlignment="1">
      <alignment horizontal="center"/>
    </xf>
    <xf numFmtId="173" fontId="8" fillId="0" borderId="0" xfId="0" applyNumberFormat="1" applyFont="1" applyAlignment="1">
      <alignment horizontal="center"/>
    </xf>
    <xf numFmtId="173" fontId="8" fillId="0" borderId="12" xfId="0" applyNumberFormat="1" applyFont="1" applyBorder="1" applyAlignment="1">
      <alignment horizontal="center" vertical="center"/>
    </xf>
    <xf numFmtId="178" fontId="8" fillId="0" borderId="15" xfId="0" applyNumberFormat="1" applyFont="1" applyBorder="1" applyAlignment="1">
      <alignment horizontal="center"/>
    </xf>
    <xf numFmtId="178" fontId="9" fillId="7" borderId="17" xfId="0" applyNumberFormat="1" applyFont="1" applyFill="1" applyBorder="1" applyAlignment="1">
      <alignment horizontal="center"/>
    </xf>
    <xf numFmtId="178" fontId="9" fillId="7" borderId="18" xfId="0" applyNumberFormat="1" applyFont="1" applyFill="1" applyBorder="1" applyAlignment="1">
      <alignment horizontal="center"/>
    </xf>
    <xf numFmtId="178" fontId="8" fillId="0" borderId="12" xfId="0" applyNumberFormat="1" applyFont="1" applyBorder="1" applyAlignment="1">
      <alignment horizontal="center"/>
    </xf>
    <xf numFmtId="178" fontId="8" fillId="0" borderId="12" xfId="1" applyNumberFormat="1" applyFont="1" applyBorder="1" applyAlignment="1">
      <alignment horizontal="center"/>
    </xf>
    <xf numFmtId="178" fontId="9" fillId="7" borderId="17" xfId="1" applyNumberFormat="1" applyFont="1" applyFill="1" applyBorder="1" applyAlignment="1">
      <alignment horizontal="center"/>
    </xf>
    <xf numFmtId="178" fontId="9" fillId="7" borderId="18" xfId="1" applyNumberFormat="1" applyFont="1" applyFill="1" applyBorder="1" applyAlignment="1">
      <alignment horizontal="center"/>
    </xf>
    <xf numFmtId="178" fontId="8" fillId="0" borderId="14" xfId="1" applyNumberFormat="1" applyFont="1" applyBorder="1" applyAlignment="1">
      <alignment horizontal="center"/>
    </xf>
    <xf numFmtId="178" fontId="8" fillId="0" borderId="12" xfId="0" applyNumberFormat="1" applyFont="1" applyBorder="1" applyAlignment="1">
      <alignment horizontal="center" vertical="center"/>
    </xf>
    <xf numFmtId="178" fontId="9" fillId="18" borderId="12" xfId="0" applyNumberFormat="1" applyFont="1" applyFill="1" applyBorder="1" applyAlignment="1">
      <alignment horizontal="center" vertical="center"/>
    </xf>
    <xf numFmtId="174" fontId="9" fillId="16" borderId="0" xfId="0" applyNumberFormat="1" applyFont="1" applyFill="1" applyAlignment="1">
      <alignment horizontal="center"/>
    </xf>
    <xf numFmtId="0" fontId="21" fillId="0" borderId="15" xfId="0" applyFont="1" applyBorder="1" applyAlignment="1">
      <alignment horizontal="center" vertical="center"/>
    </xf>
    <xf numFmtId="0" fontId="22" fillId="7" borderId="17" xfId="0" applyFont="1" applyFill="1" applyBorder="1" applyAlignment="1">
      <alignment horizontal="center"/>
    </xf>
    <xf numFmtId="0" fontId="23" fillId="0" borderId="11" xfId="0" applyFont="1" applyBorder="1" applyAlignment="1">
      <alignment vertical="center"/>
    </xf>
    <xf numFmtId="0" fontId="24" fillId="0" borderId="11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164" fontId="24" fillId="0" borderId="11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vertical="center"/>
    </xf>
    <xf numFmtId="0" fontId="23" fillId="17" borderId="11" xfId="0" applyFont="1" applyFill="1" applyBorder="1" applyAlignment="1">
      <alignment vertical="center"/>
    </xf>
    <xf numFmtId="164" fontId="24" fillId="0" borderId="11" xfId="0" applyNumberFormat="1" applyFont="1" applyBorder="1" applyAlignment="1">
      <alignment vertical="center"/>
    </xf>
    <xf numFmtId="0" fontId="24" fillId="0" borderId="11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3" fillId="17" borderId="11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164" fontId="24" fillId="0" borderId="11" xfId="0" applyNumberFormat="1" applyFont="1" applyBorder="1" applyAlignment="1">
      <alignment horizontal="center" vertical="center"/>
    </xf>
    <xf numFmtId="178" fontId="23" fillId="0" borderId="11" xfId="0" applyNumberFormat="1" applyFont="1" applyBorder="1" applyAlignment="1">
      <alignment horizontal="center" vertical="center"/>
    </xf>
    <xf numFmtId="0" fontId="24" fillId="17" borderId="28" xfId="0" applyFont="1" applyFill="1" applyBorder="1" applyAlignment="1">
      <alignment vertical="center"/>
    </xf>
    <xf numFmtId="0" fontId="24" fillId="17" borderId="28" xfId="0" applyFont="1" applyFill="1" applyBorder="1" applyAlignment="1">
      <alignment vertical="center" wrapText="1"/>
    </xf>
    <xf numFmtId="0" fontId="24" fillId="17" borderId="28" xfId="0" applyFont="1" applyFill="1" applyBorder="1" applyAlignment="1">
      <alignment horizontal="center" vertical="center"/>
    </xf>
    <xf numFmtId="167" fontId="24" fillId="17" borderId="28" xfId="0" applyNumberFormat="1" applyFont="1" applyFill="1" applyBorder="1" applyAlignment="1">
      <alignment horizontal="center" vertical="center"/>
    </xf>
    <xf numFmtId="0" fontId="23" fillId="17" borderId="30" xfId="0" applyFont="1" applyFill="1" applyBorder="1" applyAlignment="1">
      <alignment vertical="center"/>
    </xf>
    <xf numFmtId="0" fontId="24" fillId="17" borderId="30" xfId="0" applyFont="1" applyFill="1" applyBorder="1" applyAlignment="1">
      <alignment vertical="center" wrapText="1"/>
    </xf>
    <xf numFmtId="0" fontId="23" fillId="17" borderId="30" xfId="0" applyFont="1" applyFill="1" applyBorder="1" applyAlignment="1">
      <alignment horizontal="center" vertical="center"/>
    </xf>
    <xf numFmtId="167" fontId="23" fillId="17" borderId="30" xfId="0" applyNumberFormat="1" applyFont="1" applyFill="1" applyBorder="1" applyAlignment="1">
      <alignment horizontal="center" vertical="center"/>
    </xf>
    <xf numFmtId="0" fontId="24" fillId="16" borderId="29" xfId="0" applyFont="1" applyFill="1" applyBorder="1" applyAlignment="1">
      <alignment horizontal="center" vertical="center" wrapText="1"/>
    </xf>
    <xf numFmtId="0" fontId="24" fillId="16" borderId="29" xfId="0" applyFont="1" applyFill="1" applyBorder="1" applyAlignment="1">
      <alignment horizontal="left" vertical="center" wrapText="1"/>
    </xf>
    <xf numFmtId="164" fontId="24" fillId="16" borderId="29" xfId="0" applyNumberFormat="1" applyFont="1" applyFill="1" applyBorder="1" applyAlignment="1">
      <alignment horizontal="center" vertical="center" wrapText="1"/>
    </xf>
    <xf numFmtId="176" fontId="24" fillId="16" borderId="29" xfId="0" applyNumberFormat="1" applyFont="1" applyFill="1" applyBorder="1" applyAlignment="1">
      <alignment horizontal="center" vertical="center" wrapText="1"/>
    </xf>
    <xf numFmtId="0" fontId="24" fillId="17" borderId="30" xfId="0" applyFont="1" applyFill="1" applyBorder="1" applyAlignment="1">
      <alignment vertical="center"/>
    </xf>
    <xf numFmtId="178" fontId="24" fillId="17" borderId="30" xfId="0" applyNumberFormat="1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178" fontId="24" fillId="16" borderId="29" xfId="0" applyNumberFormat="1" applyFont="1" applyFill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 wrapText="1"/>
    </xf>
    <xf numFmtId="0" fontId="26" fillId="0" borderId="29" xfId="0" applyFont="1" applyBorder="1" applyAlignment="1">
      <alignment vertical="center" wrapText="1"/>
    </xf>
    <xf numFmtId="178" fontId="26" fillId="0" borderId="29" xfId="0" applyNumberFormat="1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 wrapText="1"/>
    </xf>
    <xf numFmtId="0" fontId="26" fillId="0" borderId="30" xfId="0" applyFont="1" applyBorder="1" applyAlignment="1">
      <alignment vertical="center" wrapText="1"/>
    </xf>
    <xf numFmtId="178" fontId="26" fillId="0" borderId="30" xfId="0" applyNumberFormat="1" applyFont="1" applyBorder="1" applyAlignment="1">
      <alignment horizontal="center" vertical="center"/>
    </xf>
    <xf numFmtId="0" fontId="24" fillId="19" borderId="11" xfId="0" applyFont="1" applyFill="1" applyBorder="1" applyAlignment="1">
      <alignment vertical="center"/>
    </xf>
    <xf numFmtId="0" fontId="24" fillId="19" borderId="11" xfId="0" applyFont="1" applyFill="1" applyBorder="1" applyAlignment="1">
      <alignment horizontal="left" vertical="center"/>
    </xf>
    <xf numFmtId="178" fontId="23" fillId="17" borderId="11" xfId="0" applyNumberFormat="1" applyFont="1" applyFill="1" applyBorder="1" applyAlignment="1">
      <alignment horizontal="center" vertical="center"/>
    </xf>
    <xf numFmtId="178" fontId="24" fillId="19" borderId="11" xfId="0" applyNumberFormat="1" applyFont="1" applyFill="1" applyBorder="1" applyAlignment="1">
      <alignment horizontal="center" vertical="center"/>
    </xf>
    <xf numFmtId="0" fontId="24" fillId="17" borderId="30" xfId="0" applyFont="1" applyFill="1" applyBorder="1" applyAlignment="1">
      <alignment horizontal="left" vertical="center"/>
    </xf>
    <xf numFmtId="178" fontId="23" fillId="17" borderId="30" xfId="0" applyNumberFormat="1" applyFont="1" applyFill="1" applyBorder="1" applyAlignment="1">
      <alignment horizontal="center" vertical="center"/>
    </xf>
    <xf numFmtId="178" fontId="24" fillId="19" borderId="30" xfId="0" applyNumberFormat="1" applyFont="1" applyFill="1" applyBorder="1" applyAlignment="1">
      <alignment horizontal="center" vertical="center"/>
    </xf>
    <xf numFmtId="0" fontId="24" fillId="0" borderId="11" xfId="0" applyFont="1" applyBorder="1" applyAlignment="1">
      <alignment horizontal="left" vertical="center"/>
    </xf>
    <xf numFmtId="178" fontId="24" fillId="0" borderId="11" xfId="0" applyNumberFormat="1" applyFont="1" applyBorder="1" applyAlignment="1">
      <alignment horizontal="center" vertical="center"/>
    </xf>
    <xf numFmtId="0" fontId="24" fillId="20" borderId="29" xfId="0" applyFont="1" applyFill="1" applyBorder="1" applyAlignment="1">
      <alignment horizontal="center" vertical="center" wrapText="1"/>
    </xf>
    <xf numFmtId="0" fontId="24" fillId="20" borderId="29" xfId="0" applyFont="1" applyFill="1" applyBorder="1" applyAlignment="1">
      <alignment horizontal="left" vertical="center" wrapText="1"/>
    </xf>
    <xf numFmtId="0" fontId="26" fillId="0" borderId="31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 wrapText="1"/>
    </xf>
    <xf numFmtId="0" fontId="26" fillId="0" borderId="31" xfId="0" applyFont="1" applyBorder="1" applyAlignment="1">
      <alignment vertical="center" wrapText="1"/>
    </xf>
    <xf numFmtId="178" fontId="26" fillId="0" borderId="31" xfId="0" applyNumberFormat="1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 wrapText="1"/>
    </xf>
    <xf numFmtId="0" fontId="26" fillId="0" borderId="28" xfId="0" applyFont="1" applyBorder="1" applyAlignment="1">
      <alignment vertical="center" wrapText="1"/>
    </xf>
    <xf numFmtId="0" fontId="28" fillId="0" borderId="28" xfId="0" applyFont="1" applyBorder="1" applyAlignment="1">
      <alignment horizontal="center" vertical="center"/>
    </xf>
    <xf numFmtId="167" fontId="28" fillId="0" borderId="28" xfId="0" applyNumberFormat="1" applyFont="1" applyBorder="1" applyAlignment="1">
      <alignment horizontal="center" vertical="center"/>
    </xf>
    <xf numFmtId="167" fontId="23" fillId="0" borderId="28" xfId="0" applyNumberFormat="1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167" fontId="28" fillId="0" borderId="29" xfId="0" applyNumberFormat="1" applyFont="1" applyBorder="1" applyAlignment="1">
      <alignment horizontal="center" vertical="center"/>
    </xf>
    <xf numFmtId="178" fontId="23" fillId="0" borderId="29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167" fontId="28" fillId="0" borderId="30" xfId="0" applyNumberFormat="1" applyFont="1" applyBorder="1" applyAlignment="1">
      <alignment horizontal="center" vertical="center"/>
    </xf>
    <xf numFmtId="178" fontId="23" fillId="0" borderId="30" xfId="0" applyNumberFormat="1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167" fontId="28" fillId="0" borderId="31" xfId="0" applyNumberFormat="1" applyFont="1" applyBorder="1" applyAlignment="1">
      <alignment horizontal="center" vertical="center"/>
    </xf>
    <xf numFmtId="178" fontId="23" fillId="0" borderId="31" xfId="0" applyNumberFormat="1" applyFont="1" applyBorder="1" applyAlignment="1">
      <alignment horizontal="center" vertical="center"/>
    </xf>
    <xf numFmtId="0" fontId="27" fillId="0" borderId="31" xfId="0" applyFont="1" applyBorder="1" applyAlignment="1">
      <alignment vertical="center" wrapText="1"/>
    </xf>
    <xf numFmtId="175" fontId="23" fillId="0" borderId="11" xfId="0" applyNumberFormat="1" applyFont="1" applyBorder="1" applyAlignment="1">
      <alignment horizontal="left" vertical="center"/>
    </xf>
    <xf numFmtId="14" fontId="23" fillId="0" borderId="11" xfId="0" applyNumberFormat="1" applyFont="1" applyBorder="1" applyAlignment="1">
      <alignment horizontal="center" vertical="center"/>
    </xf>
    <xf numFmtId="0" fontId="24" fillId="16" borderId="28" xfId="0" applyFont="1" applyFill="1" applyBorder="1" applyAlignment="1">
      <alignment horizontal="center" vertical="center" wrapText="1"/>
    </xf>
    <xf numFmtId="0" fontId="24" fillId="16" borderId="28" xfId="0" applyFont="1" applyFill="1" applyBorder="1" applyAlignment="1">
      <alignment vertical="center" wrapText="1"/>
    </xf>
    <xf numFmtId="164" fontId="24" fillId="16" borderId="28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178" fontId="26" fillId="0" borderId="11" xfId="0" applyNumberFormat="1" applyFont="1" applyBorder="1" applyAlignment="1">
      <alignment horizontal="center" vertical="center"/>
    </xf>
    <xf numFmtId="0" fontId="26" fillId="17" borderId="28" xfId="0" applyFont="1" applyFill="1" applyBorder="1" applyAlignment="1">
      <alignment vertical="center"/>
    </xf>
    <xf numFmtId="178" fontId="26" fillId="17" borderId="28" xfId="0" applyNumberFormat="1" applyFont="1" applyFill="1" applyBorder="1" applyAlignment="1">
      <alignment horizontal="center" vertical="center"/>
    </xf>
    <xf numFmtId="178" fontId="24" fillId="17" borderId="28" xfId="0" applyNumberFormat="1" applyFont="1" applyFill="1" applyBorder="1" applyAlignment="1">
      <alignment horizontal="center" vertical="center"/>
    </xf>
    <xf numFmtId="0" fontId="26" fillId="17" borderId="28" xfId="0" applyFont="1" applyFill="1" applyBorder="1" applyAlignment="1">
      <alignment horizontal="center" vertical="center"/>
    </xf>
    <xf numFmtId="167" fontId="26" fillId="0" borderId="11" xfId="0" applyNumberFormat="1" applyFont="1" applyBorder="1" applyAlignment="1">
      <alignment horizontal="center" vertical="center"/>
    </xf>
    <xf numFmtId="0" fontId="24" fillId="16" borderId="28" xfId="0" applyFont="1" applyFill="1" applyBorder="1" applyAlignment="1">
      <alignment horizontal="left" vertical="center" wrapText="1"/>
    </xf>
    <xf numFmtId="0" fontId="24" fillId="17" borderId="29" xfId="0" applyFont="1" applyFill="1" applyBorder="1" applyAlignment="1">
      <alignment vertical="center"/>
    </xf>
    <xf numFmtId="0" fontId="26" fillId="17" borderId="29" xfId="0" applyFont="1" applyFill="1" applyBorder="1" applyAlignment="1">
      <alignment vertical="center"/>
    </xf>
    <xf numFmtId="164" fontId="24" fillId="17" borderId="29" xfId="0" applyNumberFormat="1" applyFont="1" applyFill="1" applyBorder="1" applyAlignment="1">
      <alignment vertical="center"/>
    </xf>
    <xf numFmtId="0" fontId="23" fillId="17" borderId="29" xfId="0" applyFont="1" applyFill="1" applyBorder="1" applyAlignment="1">
      <alignment horizontal="center" vertical="center"/>
    </xf>
    <xf numFmtId="167" fontId="23" fillId="17" borderId="29" xfId="0" applyNumberFormat="1" applyFont="1" applyFill="1" applyBorder="1" applyAlignment="1">
      <alignment horizontal="center" vertical="center"/>
    </xf>
    <xf numFmtId="0" fontId="26" fillId="17" borderId="30" xfId="0" applyFont="1" applyFill="1" applyBorder="1" applyAlignment="1">
      <alignment horizontal="center" vertical="center"/>
    </xf>
    <xf numFmtId="167" fontId="23" fillId="17" borderId="28" xfId="0" applyNumberFormat="1" applyFont="1" applyFill="1" applyBorder="1" applyAlignment="1">
      <alignment horizontal="center" vertical="center"/>
    </xf>
    <xf numFmtId="0" fontId="25" fillId="0" borderId="31" xfId="0" applyFont="1" applyBorder="1" applyAlignment="1">
      <alignment vertical="center" wrapText="1"/>
    </xf>
    <xf numFmtId="167" fontId="26" fillId="0" borderId="31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0" fillId="17" borderId="2" xfId="0" applyFont="1" applyFill="1" applyBorder="1" applyAlignment="1">
      <alignment horizontal="center" vertical="center"/>
    </xf>
    <xf numFmtId="0" fontId="30" fillId="17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0" fillId="0" borderId="11" xfId="0" applyFont="1" applyBorder="1" applyAlignment="1">
      <alignment horizontal="center" vertical="center" wrapText="1"/>
    </xf>
    <xf numFmtId="4" fontId="30" fillId="0" borderId="11" xfId="0" applyNumberFormat="1" applyFont="1" applyBorder="1" applyAlignment="1">
      <alignment horizontal="center" vertical="center" wrapText="1"/>
    </xf>
    <xf numFmtId="0" fontId="30" fillId="17" borderId="33" xfId="0" applyFont="1" applyFill="1" applyBorder="1" applyAlignment="1">
      <alignment horizontal="center" vertical="center" wrapText="1"/>
    </xf>
    <xf numFmtId="0" fontId="30" fillId="17" borderId="34" xfId="0" applyFont="1" applyFill="1" applyBorder="1" applyAlignment="1">
      <alignment horizontal="center" vertical="center" wrapText="1"/>
    </xf>
    <xf numFmtId="0" fontId="30" fillId="21" borderId="34" xfId="0" applyFont="1" applyFill="1" applyBorder="1" applyAlignment="1">
      <alignment horizontal="center" vertical="center" wrapText="1"/>
    </xf>
    <xf numFmtId="4" fontId="30" fillId="17" borderId="34" xfId="0" applyNumberFormat="1" applyFont="1" applyFill="1" applyBorder="1" applyAlignment="1">
      <alignment horizontal="center" vertical="center" wrapText="1"/>
    </xf>
    <xf numFmtId="4" fontId="30" fillId="17" borderId="35" xfId="0" applyNumberFormat="1" applyFont="1" applyFill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4" fontId="20" fillId="0" borderId="32" xfId="0" applyNumberFormat="1" applyFont="1" applyBorder="1" applyAlignment="1">
      <alignment horizontal="center" vertical="center" wrapText="1"/>
    </xf>
    <xf numFmtId="4" fontId="20" fillId="10" borderId="37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10" borderId="2" xfId="0" applyNumberFormat="1" applyFont="1" applyFill="1" applyBorder="1" applyAlignment="1">
      <alignment horizontal="center" vertical="center"/>
    </xf>
    <xf numFmtId="0" fontId="1" fillId="0" borderId="38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10" borderId="39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11" borderId="40" xfId="0" applyFont="1" applyFill="1" applyBorder="1" applyAlignment="1">
      <alignment vertical="center"/>
    </xf>
    <xf numFmtId="0" fontId="1" fillId="11" borderId="41" xfId="0" applyFont="1" applyFill="1" applyBorder="1" applyAlignment="1">
      <alignment vertical="center"/>
    </xf>
    <xf numFmtId="4" fontId="32" fillId="11" borderId="23" xfId="0" applyNumberFormat="1" applyFont="1" applyFill="1" applyBorder="1" applyAlignment="1">
      <alignment horizontal="center" vertical="center"/>
    </xf>
    <xf numFmtId="4" fontId="32" fillId="11" borderId="24" xfId="0" applyNumberFormat="1" applyFont="1" applyFill="1" applyBorder="1" applyAlignment="1">
      <alignment horizontal="center" vertical="center"/>
    </xf>
    <xf numFmtId="178" fontId="28" fillId="0" borderId="29" xfId="0" applyNumberFormat="1" applyFont="1" applyBorder="1" applyAlignment="1">
      <alignment horizontal="center" vertical="center"/>
    </xf>
    <xf numFmtId="178" fontId="28" fillId="0" borderId="31" xfId="0" applyNumberFormat="1" applyFont="1" applyBorder="1" applyAlignment="1">
      <alignment horizontal="center" vertical="center"/>
    </xf>
    <xf numFmtId="178" fontId="28" fillId="0" borderId="30" xfId="0" applyNumberFormat="1" applyFont="1" applyBorder="1" applyAlignment="1">
      <alignment horizontal="center" vertical="center"/>
    </xf>
    <xf numFmtId="3" fontId="28" fillId="0" borderId="11" xfId="0" applyNumberFormat="1" applyFont="1" applyBorder="1" applyAlignment="1">
      <alignment horizontal="center" vertical="center"/>
    </xf>
    <xf numFmtId="178" fontId="28" fillId="0" borderId="11" xfId="0" applyNumberFormat="1" applyFont="1" applyBorder="1" applyAlignment="1">
      <alignment horizontal="center" vertical="center"/>
    </xf>
    <xf numFmtId="3" fontId="28" fillId="0" borderId="31" xfId="0" applyNumberFormat="1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167" fontId="28" fillId="0" borderId="1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4" fontId="14" fillId="0" borderId="0" xfId="0" applyNumberFormat="1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" fontId="14" fillId="0" borderId="0" xfId="0" applyNumberFormat="1" applyFont="1" applyAlignment="1">
      <alignment horizontal="left" vertical="center" shrinkToFit="1"/>
    </xf>
    <xf numFmtId="0" fontId="13" fillId="6" borderId="25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" fontId="14" fillId="5" borderId="25" xfId="0" applyNumberFormat="1" applyFont="1" applyFill="1" applyBorder="1" applyAlignment="1">
      <alignment horizontal="center" vertical="center" wrapText="1"/>
    </xf>
    <xf numFmtId="0" fontId="13" fillId="5" borderId="2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" fontId="14" fillId="5" borderId="25" xfId="0" applyNumberFormat="1" applyFont="1" applyFill="1" applyBorder="1" applyAlignment="1">
      <alignment horizontal="center" vertical="center" shrinkToFit="1"/>
    </xf>
    <xf numFmtId="0" fontId="13" fillId="6" borderId="25" xfId="0" applyFont="1" applyFill="1" applyBorder="1" applyAlignment="1">
      <alignment horizontal="center" vertical="center" wrapText="1"/>
    </xf>
    <xf numFmtId="8" fontId="15" fillId="6" borderId="25" xfId="0" applyNumberFormat="1" applyFont="1" applyFill="1" applyBorder="1" applyAlignment="1">
      <alignment horizontal="center" vertical="center"/>
    </xf>
    <xf numFmtId="0" fontId="13" fillId="0" borderId="25" xfId="0" applyFont="1" applyBorder="1" applyAlignment="1">
      <alignment horizontal="left" vertical="center"/>
    </xf>
    <xf numFmtId="166" fontId="14" fillId="5" borderId="25" xfId="0" applyNumberFormat="1" applyFont="1" applyFill="1" applyBorder="1" applyAlignment="1">
      <alignment horizontal="center" vertical="center" shrinkToFit="1"/>
    </xf>
    <xf numFmtId="0" fontId="14" fillId="7" borderId="2" xfId="0" applyFont="1" applyFill="1" applyBorder="1" applyAlignment="1">
      <alignment horizontal="left" vertical="center" wrapText="1"/>
    </xf>
    <xf numFmtId="0" fontId="11" fillId="7" borderId="2" xfId="0" applyFont="1" applyFill="1" applyBorder="1" applyAlignment="1">
      <alignment vertical="center"/>
    </xf>
    <xf numFmtId="0" fontId="14" fillId="7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vertical="center"/>
    </xf>
    <xf numFmtId="1" fontId="16" fillId="7" borderId="2" xfId="0" applyNumberFormat="1" applyFont="1" applyFill="1" applyBorder="1" applyAlignment="1">
      <alignment horizontal="center" vertical="center" shrinkToFit="1"/>
    </xf>
    <xf numFmtId="0" fontId="11" fillId="7" borderId="2" xfId="0" applyFont="1" applyFill="1" applyBorder="1" applyAlignment="1">
      <alignment horizontal="left" vertical="center" wrapText="1"/>
    </xf>
    <xf numFmtId="0" fontId="16" fillId="7" borderId="2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164" fontId="14" fillId="0" borderId="2" xfId="0" applyNumberFormat="1" applyFont="1" applyBorder="1" applyAlignment="1">
      <alignment vertical="center"/>
    </xf>
    <xf numFmtId="10" fontId="14" fillId="0" borderId="2" xfId="0" applyNumberFormat="1" applyFont="1" applyBorder="1" applyAlignment="1">
      <alignment horizontal="center" vertical="center" shrinkToFit="1"/>
    </xf>
    <xf numFmtId="164" fontId="11" fillId="7" borderId="2" xfId="0" applyNumberFormat="1" applyFont="1" applyFill="1" applyBorder="1" applyAlignment="1">
      <alignment vertical="center" wrapText="1"/>
    </xf>
    <xf numFmtId="164" fontId="11" fillId="7" borderId="2" xfId="0" applyNumberFormat="1" applyFont="1" applyFill="1" applyBorder="1" applyAlignment="1">
      <alignment horizontal="right" vertical="center" wrapText="1"/>
    </xf>
    <xf numFmtId="10" fontId="16" fillId="7" borderId="2" xfId="0" applyNumberFormat="1" applyFont="1" applyFill="1" applyBorder="1" applyAlignment="1">
      <alignment horizontal="center" vertical="center"/>
    </xf>
    <xf numFmtId="164" fontId="16" fillId="7" borderId="2" xfId="0" applyNumberFormat="1" applyFont="1" applyFill="1" applyBorder="1" applyAlignment="1">
      <alignment vertical="center"/>
    </xf>
    <xf numFmtId="0" fontId="11" fillId="0" borderId="2" xfId="0" applyFont="1" applyBorder="1" applyAlignment="1">
      <alignment vertical="center"/>
    </xf>
    <xf numFmtId="10" fontId="14" fillId="12" borderId="2" xfId="0" applyNumberFormat="1" applyFont="1" applyFill="1" applyBorder="1" applyAlignment="1">
      <alignment horizontal="center" vertical="center" shrinkToFit="1"/>
    </xf>
    <xf numFmtId="10" fontId="16" fillId="7" borderId="2" xfId="0" applyNumberFormat="1" applyFont="1" applyFill="1" applyBorder="1" applyAlignment="1">
      <alignment horizontal="center" vertical="center" shrinkToFit="1"/>
    </xf>
    <xf numFmtId="164" fontId="14" fillId="0" borderId="2" xfId="0" applyNumberFormat="1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0" xfId="0" applyFont="1" applyBorder="1" applyAlignment="1">
      <alignment vertical="center"/>
    </xf>
    <xf numFmtId="9" fontId="14" fillId="0" borderId="20" xfId="0" applyNumberFormat="1" applyFont="1" applyBorder="1" applyAlignment="1">
      <alignment horizontal="center" vertical="center" shrinkToFit="1"/>
    </xf>
    <xf numFmtId="164" fontId="14" fillId="0" borderId="20" xfId="0" applyNumberFormat="1" applyFont="1" applyBorder="1" applyAlignment="1">
      <alignment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164" fontId="14" fillId="0" borderId="25" xfId="0" applyNumberFormat="1" applyFont="1" applyBorder="1" applyAlignment="1">
      <alignment vertical="center"/>
    </xf>
    <xf numFmtId="0" fontId="14" fillId="7" borderId="25" xfId="0" applyFont="1" applyFill="1" applyBorder="1" applyAlignment="1">
      <alignment horizontal="left" vertical="center" wrapText="1"/>
    </xf>
    <xf numFmtId="0" fontId="11" fillId="7" borderId="25" xfId="0" applyFont="1" applyFill="1" applyBorder="1" applyAlignment="1">
      <alignment vertical="center"/>
    </xf>
    <xf numFmtId="0" fontId="14" fillId="7" borderId="25" xfId="0" applyFont="1" applyFill="1" applyBorder="1" applyAlignment="1">
      <alignment horizontal="center" vertical="center"/>
    </xf>
    <xf numFmtId="164" fontId="16" fillId="7" borderId="25" xfId="0" applyNumberFormat="1" applyFont="1" applyFill="1" applyBorder="1" applyAlignment="1">
      <alignment vertical="center"/>
    </xf>
    <xf numFmtId="0" fontId="14" fillId="0" borderId="22" xfId="0" applyFont="1" applyBorder="1" applyAlignment="1">
      <alignment horizontal="left" vertical="center" wrapText="1"/>
    </xf>
    <xf numFmtId="0" fontId="13" fillId="0" borderId="22" xfId="0" applyFont="1" applyBorder="1" applyAlignment="1">
      <alignment vertical="center"/>
    </xf>
    <xf numFmtId="0" fontId="14" fillId="0" borderId="22" xfId="0" applyFont="1" applyBorder="1" applyAlignment="1">
      <alignment horizontal="center" vertical="center"/>
    </xf>
    <xf numFmtId="0" fontId="14" fillId="0" borderId="22" xfId="0" applyFont="1" applyBorder="1" applyAlignment="1">
      <alignment vertical="center" wrapText="1"/>
    </xf>
    <xf numFmtId="167" fontId="7" fillId="0" borderId="0" xfId="0" applyNumberFormat="1" applyFont="1" applyAlignment="1">
      <alignment horizontal="left" vertical="center"/>
    </xf>
    <xf numFmtId="9" fontId="7" fillId="0" borderId="0" xfId="0" applyNumberFormat="1" applyFont="1" applyAlignment="1">
      <alignment horizontal="left" vertical="center"/>
    </xf>
    <xf numFmtId="10" fontId="7" fillId="0" borderId="0" xfId="0" applyNumberFormat="1" applyFont="1" applyAlignment="1">
      <alignment horizontal="left" vertical="center"/>
    </xf>
    <xf numFmtId="0" fontId="13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0" fontId="0" fillId="14" borderId="2" xfId="0" applyFill="1" applyBorder="1" applyAlignment="1">
      <alignment horizontal="center" vertical="center"/>
    </xf>
    <xf numFmtId="10" fontId="0" fillId="14" borderId="10" xfId="0" applyNumberForma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vertical="center"/>
    </xf>
    <xf numFmtId="10" fontId="16" fillId="8" borderId="2" xfId="0" applyNumberFormat="1" applyFont="1" applyFill="1" applyBorder="1" applyAlignment="1">
      <alignment horizontal="center" vertical="center" shrinkToFit="1"/>
    </xf>
    <xf numFmtId="164" fontId="16" fillId="8" borderId="2" xfId="0" applyNumberFormat="1" applyFont="1" applyFill="1" applyBorder="1" applyAlignment="1">
      <alignment vertical="center"/>
    </xf>
    <xf numFmtId="9" fontId="14" fillId="0" borderId="0" xfId="0" applyNumberFormat="1" applyFont="1" applyAlignment="1">
      <alignment horizontal="left" vertical="center"/>
    </xf>
    <xf numFmtId="164" fontId="14" fillId="0" borderId="0" xfId="0" applyNumberFormat="1" applyFont="1" applyAlignment="1">
      <alignment vertical="center"/>
    </xf>
    <xf numFmtId="10" fontId="14" fillId="15" borderId="2" xfId="0" applyNumberFormat="1" applyFont="1" applyFill="1" applyBorder="1" applyAlignment="1">
      <alignment horizontal="center" vertical="center" shrinkToFit="1"/>
    </xf>
    <xf numFmtId="0" fontId="14" fillId="7" borderId="2" xfId="0" applyFont="1" applyFill="1" applyBorder="1" applyAlignment="1">
      <alignment horizontal="left" vertical="center"/>
    </xf>
    <xf numFmtId="0" fontId="11" fillId="7" borderId="11" xfId="0" applyFont="1" applyFill="1" applyBorder="1" applyAlignment="1">
      <alignment vertical="center"/>
    </xf>
    <xf numFmtId="0" fontId="16" fillId="7" borderId="11" xfId="0" applyFont="1" applyFill="1" applyBorder="1" applyAlignment="1">
      <alignment horizontal="center" vertical="center"/>
    </xf>
    <xf numFmtId="0" fontId="14" fillId="7" borderId="11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168" fontId="11" fillId="0" borderId="0" xfId="0" applyNumberFormat="1" applyFont="1" applyAlignment="1">
      <alignment horizontal="left" vertical="center"/>
    </xf>
    <xf numFmtId="0" fontId="16" fillId="7" borderId="25" xfId="0" applyFont="1" applyFill="1" applyBorder="1" applyAlignment="1">
      <alignment horizontal="center" vertical="center"/>
    </xf>
    <xf numFmtId="168" fontId="11" fillId="7" borderId="25" xfId="0" applyNumberFormat="1" applyFont="1" applyFill="1" applyBorder="1" applyAlignment="1">
      <alignment horizontal="left" vertical="center"/>
    </xf>
    <xf numFmtId="1" fontId="14" fillId="7" borderId="25" xfId="0" applyNumberFormat="1" applyFont="1" applyFill="1" applyBorder="1" applyAlignment="1">
      <alignment horizontal="center" vertical="center" shrinkToFit="1"/>
    </xf>
    <xf numFmtId="0" fontId="13" fillId="7" borderId="25" xfId="0" applyFont="1" applyFill="1" applyBorder="1" applyAlignment="1">
      <alignment vertical="center"/>
    </xf>
    <xf numFmtId="0" fontId="13" fillId="7" borderId="25" xfId="0" applyFont="1" applyFill="1" applyBorder="1" applyAlignment="1">
      <alignment horizontal="left" vertical="center"/>
    </xf>
    <xf numFmtId="0" fontId="13" fillId="0" borderId="25" xfId="0" applyFont="1" applyBorder="1" applyAlignment="1">
      <alignment horizontal="center" vertical="center"/>
    </xf>
    <xf numFmtId="1" fontId="13" fillId="0" borderId="25" xfId="0" applyNumberFormat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vertical="center"/>
    </xf>
    <xf numFmtId="43" fontId="14" fillId="0" borderId="0" xfId="0" applyNumberFormat="1" applyFont="1" applyAlignment="1">
      <alignment horizontal="left" vertical="center"/>
    </xf>
    <xf numFmtId="0" fontId="11" fillId="9" borderId="25" xfId="0" applyFont="1" applyFill="1" applyBorder="1" applyAlignment="1">
      <alignment vertical="center"/>
    </xf>
    <xf numFmtId="0" fontId="16" fillId="9" borderId="25" xfId="0" applyFont="1" applyFill="1" applyBorder="1" applyAlignment="1">
      <alignment horizontal="center" vertical="center"/>
    </xf>
    <xf numFmtId="164" fontId="14" fillId="9" borderId="25" xfId="0" applyNumberFormat="1" applyFont="1" applyFill="1" applyBorder="1" applyAlignment="1">
      <alignment vertical="center"/>
    </xf>
    <xf numFmtId="168" fontId="11" fillId="9" borderId="25" xfId="0" applyNumberFormat="1" applyFont="1" applyFill="1" applyBorder="1" applyAlignment="1">
      <alignment horizontal="left" vertical="center"/>
    </xf>
    <xf numFmtId="0" fontId="23" fillId="17" borderId="28" xfId="0" applyFont="1" applyFill="1" applyBorder="1" applyAlignment="1">
      <alignment vertical="center"/>
    </xf>
    <xf numFmtId="0" fontId="23" fillId="17" borderId="28" xfId="0" applyFont="1" applyFill="1" applyBorder="1" applyAlignment="1">
      <alignment horizontal="center" vertical="center"/>
    </xf>
    <xf numFmtId="0" fontId="4" fillId="0" borderId="4" xfId="0" applyFont="1" applyBorder="1"/>
    <xf numFmtId="49" fontId="2" fillId="2" borderId="11" xfId="0" applyNumberFormat="1" applyFont="1" applyFill="1" applyBorder="1" applyAlignment="1">
      <alignment horizontal="left" vertical="center"/>
    </xf>
    <xf numFmtId="0" fontId="4" fillId="0" borderId="11" xfId="0" applyFont="1" applyBorder="1"/>
    <xf numFmtId="0" fontId="2" fillId="2" borderId="11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33" fillId="2" borderId="1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2" fillId="4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Border="1"/>
    <xf numFmtId="0" fontId="3" fillId="2" borderId="3" xfId="0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left" vertical="center"/>
    </xf>
    <xf numFmtId="20" fontId="2" fillId="2" borderId="3" xfId="0" applyNumberFormat="1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4" fillId="7" borderId="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14" fillId="5" borderId="25" xfId="0" applyFont="1" applyFill="1" applyBorder="1" applyAlignment="1">
      <alignment horizontal="left" vertical="center" wrapText="1"/>
    </xf>
    <xf numFmtId="0" fontId="13" fillId="5" borderId="26" xfId="0" applyFont="1" applyFill="1" applyBorder="1" applyAlignment="1">
      <alignment horizontal="left" vertical="center" wrapText="1"/>
    </xf>
    <xf numFmtId="0" fontId="13" fillId="5" borderId="27" xfId="0" applyFont="1" applyFill="1" applyBorder="1" applyAlignment="1">
      <alignment horizontal="left" vertical="center" wrapText="1"/>
    </xf>
    <xf numFmtId="0" fontId="13" fillId="5" borderId="25" xfId="0" applyFont="1" applyFill="1" applyBorder="1" applyAlignment="1">
      <alignment horizontal="left" vertical="center" wrapText="1"/>
    </xf>
    <xf numFmtId="0" fontId="17" fillId="0" borderId="25" xfId="0" applyFont="1" applyBorder="1" applyAlignment="1">
      <alignment vertical="center"/>
    </xf>
    <xf numFmtId="0" fontId="11" fillId="7" borderId="5" xfId="0" applyFont="1" applyFill="1" applyBorder="1" applyAlignment="1">
      <alignment vertical="center"/>
    </xf>
    <xf numFmtId="0" fontId="9" fillId="16" borderId="11" xfId="0" applyFont="1" applyFill="1" applyBorder="1" applyAlignment="1">
      <alignment horizontal="right" indent="1"/>
    </xf>
    <xf numFmtId="0" fontId="8" fillId="0" borderId="13" xfId="0" applyFont="1" applyBorder="1" applyAlignment="1">
      <alignment horizontal="left" vertical="center"/>
    </xf>
    <xf numFmtId="0" fontId="4" fillId="0" borderId="14" xfId="0" applyFont="1" applyBorder="1"/>
    <xf numFmtId="0" fontId="8" fillId="16" borderId="13" xfId="0" applyFont="1" applyFill="1" applyBorder="1" applyAlignment="1">
      <alignment horizontal="left" vertical="center"/>
    </xf>
    <xf numFmtId="0" fontId="4" fillId="16" borderId="14" xfId="0" applyFont="1" applyFill="1" applyBorder="1"/>
    <xf numFmtId="0" fontId="9" fillId="16" borderId="13" xfId="0" applyFont="1" applyFill="1" applyBorder="1" applyAlignment="1">
      <alignment horizontal="center" vertical="center"/>
    </xf>
    <xf numFmtId="0" fontId="4" fillId="16" borderId="14" xfId="0" applyFont="1" applyFill="1" applyBorder="1" applyAlignment="1">
      <alignment horizontal="center"/>
    </xf>
    <xf numFmtId="0" fontId="8" fillId="16" borderId="13" xfId="0" applyFont="1" applyFill="1" applyBorder="1" applyAlignment="1">
      <alignment horizontal="center" vertical="center"/>
    </xf>
    <xf numFmtId="172" fontId="9" fillId="16" borderId="13" xfId="0" applyNumberFormat="1" applyFont="1" applyFill="1" applyBorder="1" applyAlignment="1">
      <alignment horizontal="center" vertical="center"/>
    </xf>
    <xf numFmtId="0" fontId="4" fillId="16" borderId="19" xfId="0" applyFont="1" applyFill="1" applyBorder="1"/>
    <xf numFmtId="0" fontId="9" fillId="16" borderId="13" xfId="0" applyFont="1" applyFill="1" applyBorder="1" applyAlignment="1">
      <alignment horizontal="left" vertical="center"/>
    </xf>
    <xf numFmtId="0" fontId="24" fillId="17" borderId="28" xfId="0" applyFont="1" applyFill="1" applyBorder="1" applyAlignment="1">
      <alignment vertical="center"/>
    </xf>
    <xf numFmtId="0" fontId="29" fillId="17" borderId="28" xfId="0" applyFont="1" applyFill="1" applyBorder="1" applyAlignment="1">
      <alignment vertical="center"/>
    </xf>
    <xf numFmtId="0" fontId="24" fillId="17" borderId="30" xfId="0" applyFont="1" applyFill="1" applyBorder="1" applyAlignment="1">
      <alignment vertical="center"/>
    </xf>
    <xf numFmtId="0" fontId="29" fillId="17" borderId="30" xfId="0" applyFont="1" applyFill="1" applyBorder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0" fillId="17" borderId="8" xfId="0" applyFont="1" applyFill="1" applyBorder="1" applyAlignment="1">
      <alignment horizontal="center" vertical="center" wrapText="1"/>
    </xf>
    <xf numFmtId="0" fontId="31" fillId="17" borderId="9" xfId="0" applyFont="1" applyFill="1" applyBorder="1" applyAlignment="1">
      <alignment vertical="center"/>
    </xf>
    <xf numFmtId="0" fontId="31" fillId="17" borderId="10" xfId="0" applyFont="1" applyFill="1" applyBorder="1" applyAlignment="1">
      <alignment vertical="center"/>
    </xf>
    <xf numFmtId="0" fontId="1" fillId="0" borderId="20" xfId="0" applyFont="1" applyBorder="1" applyAlignment="1">
      <alignment horizontal="center" vertical="center" wrapText="1"/>
    </xf>
    <xf numFmtId="0" fontId="31" fillId="0" borderId="21" xfId="0" applyFont="1" applyBorder="1" applyAlignment="1">
      <alignment vertical="center"/>
    </xf>
    <xf numFmtId="0" fontId="31" fillId="0" borderId="22" xfId="0" applyFont="1" applyBorder="1" applyAlignment="1">
      <alignment vertical="center"/>
    </xf>
    <xf numFmtId="0" fontId="23" fillId="0" borderId="31" xfId="0" applyFont="1" applyBorder="1" applyAlignment="1">
      <alignment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5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305175" y="0"/>
    <xdr:ext cx="761759" cy="779040"/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 bright="-50000"/>
          <a:alphaModFix/>
        </a:blip>
        <a:srcRect/>
        <a:stretch>
          <a:fillRect/>
        </a:stretch>
      </xdr:blipFill>
      <xdr:spPr>
        <a:xfrm>
          <a:off x="3305175" y="0"/>
          <a:ext cx="761759" cy="779040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  <pageSetUpPr fitToPage="1"/>
  </sheetPr>
  <dimension ref="A1:L29"/>
  <sheetViews>
    <sheetView topLeftCell="A22" workbookViewId="0">
      <selection activeCell="G26" sqref="G26"/>
    </sheetView>
  </sheetViews>
  <sheetFormatPr defaultColWidth="14.44140625" defaultRowHeight="15" customHeight="1"/>
  <cols>
    <col min="1" max="1" width="14.33203125" customWidth="1"/>
    <col min="2" max="2" width="11.6640625" customWidth="1"/>
    <col min="3" max="3" width="10.6640625" customWidth="1"/>
    <col min="4" max="5" width="8.6640625" customWidth="1"/>
    <col min="6" max="6" width="10.5546875" customWidth="1"/>
    <col min="7" max="7" width="12.88671875" customWidth="1"/>
    <col min="8" max="8" width="14" customWidth="1"/>
    <col min="9" max="9" width="16" customWidth="1"/>
    <col min="10" max="10" width="6.109375" customWidth="1"/>
    <col min="11" max="12" width="9.109375" customWidth="1"/>
  </cols>
  <sheetData>
    <row r="1" spans="1:12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" customHeight="1">
      <c r="A2" s="353" t="s">
        <v>344</v>
      </c>
      <c r="B2" s="348"/>
      <c r="C2" s="348"/>
      <c r="D2" s="348"/>
      <c r="E2" s="348"/>
      <c r="F2" s="348"/>
      <c r="G2" s="348"/>
      <c r="H2" s="348"/>
      <c r="I2" s="348"/>
      <c r="J2" s="5"/>
      <c r="K2" s="1"/>
      <c r="L2" s="1"/>
    </row>
    <row r="3" spans="1:12" ht="15" customHeight="1">
      <c r="A3" s="2" t="s">
        <v>14</v>
      </c>
      <c r="B3" s="350"/>
      <c r="C3" s="348"/>
      <c r="D3" s="348"/>
      <c r="E3" s="348"/>
      <c r="F3" s="348"/>
      <c r="G3" s="348"/>
      <c r="H3" s="348"/>
      <c r="I3" s="348"/>
      <c r="J3" s="3"/>
      <c r="K3" s="1"/>
      <c r="L3" s="1"/>
    </row>
    <row r="4" spans="1:12" ht="15" customHeight="1">
      <c r="A4" s="2" t="s">
        <v>0</v>
      </c>
      <c r="B4" s="338"/>
      <c r="C4" s="339"/>
      <c r="D4" s="339"/>
      <c r="E4" s="339"/>
      <c r="F4" s="339"/>
      <c r="G4" s="339"/>
      <c r="H4" s="339"/>
      <c r="I4" s="339"/>
      <c r="J4" s="340"/>
      <c r="K4" s="341"/>
      <c r="L4" s="341"/>
    </row>
    <row r="5" spans="1:12" ht="15" customHeight="1">
      <c r="A5" s="2" t="s">
        <v>1</v>
      </c>
      <c r="B5" s="354"/>
      <c r="C5" s="348"/>
      <c r="D5" s="348"/>
      <c r="E5" s="348"/>
      <c r="F5" s="348"/>
      <c r="G5" s="348"/>
      <c r="H5" s="348"/>
      <c r="I5" s="348"/>
      <c r="J5" s="3"/>
      <c r="K5" s="1"/>
      <c r="L5" s="1"/>
    </row>
    <row r="6" spans="1:12" ht="15" customHeight="1">
      <c r="A6" s="2" t="s">
        <v>2</v>
      </c>
      <c r="B6" s="355"/>
      <c r="C6" s="348"/>
      <c r="D6" s="348"/>
      <c r="E6" s="348"/>
      <c r="F6" s="348"/>
      <c r="G6" s="348"/>
      <c r="H6" s="348"/>
      <c r="I6" s="348"/>
      <c r="J6" s="3"/>
      <c r="K6" s="1"/>
      <c r="L6" s="1"/>
    </row>
    <row r="7" spans="1:12" ht="1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51.75" customHeight="1">
      <c r="A8" s="6" t="s">
        <v>15</v>
      </c>
      <c r="B8" s="356" t="s">
        <v>3</v>
      </c>
      <c r="C8" s="348"/>
      <c r="D8" s="348"/>
      <c r="E8" s="348"/>
      <c r="F8" s="348"/>
      <c r="G8" s="348"/>
      <c r="H8" s="348"/>
      <c r="I8" s="348"/>
      <c r="J8" s="7"/>
      <c r="K8" s="1"/>
      <c r="L8" s="1"/>
    </row>
    <row r="9" spans="1:12" ht="1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" customHeight="1">
      <c r="A10" s="352" t="s">
        <v>16</v>
      </c>
      <c r="B10" s="348"/>
      <c r="C10" s="348"/>
      <c r="D10" s="348"/>
      <c r="E10" s="348"/>
      <c r="F10" s="348"/>
      <c r="G10" s="348"/>
      <c r="H10" s="348"/>
      <c r="I10" s="348"/>
      <c r="J10" s="4"/>
      <c r="K10" s="1"/>
      <c r="L10" s="1"/>
    </row>
    <row r="11" spans="1:12" ht="15" customHeight="1">
      <c r="A11" s="349" t="s">
        <v>4</v>
      </c>
      <c r="B11" s="348"/>
      <c r="C11" s="351"/>
      <c r="D11" s="348"/>
      <c r="E11" s="348"/>
      <c r="F11" s="348"/>
      <c r="G11" s="348"/>
      <c r="H11" s="348"/>
      <c r="I11" s="348"/>
      <c r="J11" s="3"/>
      <c r="K11" s="1"/>
      <c r="L11" s="1"/>
    </row>
    <row r="12" spans="1:12" ht="15" customHeight="1">
      <c r="A12" s="349" t="s">
        <v>5</v>
      </c>
      <c r="B12" s="348"/>
      <c r="C12" s="351"/>
      <c r="D12" s="348"/>
      <c r="E12" s="348"/>
      <c r="F12" s="348"/>
      <c r="G12" s="348"/>
      <c r="H12" s="348"/>
      <c r="I12" s="348"/>
      <c r="J12" s="3"/>
      <c r="K12" s="1"/>
      <c r="L12" s="1"/>
    </row>
    <row r="13" spans="1:12" ht="15" customHeight="1">
      <c r="A13" s="349" t="s">
        <v>6</v>
      </c>
      <c r="B13" s="348"/>
      <c r="C13" s="351"/>
      <c r="D13" s="348"/>
      <c r="E13" s="348"/>
      <c r="F13" s="348"/>
      <c r="G13" s="348"/>
      <c r="H13" s="348"/>
      <c r="I13" s="348"/>
      <c r="J13" s="3"/>
      <c r="K13" s="1"/>
      <c r="L13" s="1"/>
    </row>
    <row r="14" spans="1:12" ht="15" customHeight="1">
      <c r="A14" s="349" t="s">
        <v>7</v>
      </c>
      <c r="B14" s="348"/>
      <c r="C14" s="351"/>
      <c r="D14" s="348"/>
      <c r="E14" s="348"/>
      <c r="F14" s="348"/>
      <c r="G14" s="348"/>
      <c r="H14" s="348"/>
      <c r="I14" s="348"/>
      <c r="J14" s="3"/>
      <c r="K14" s="1"/>
      <c r="L14" s="1"/>
    </row>
    <row r="15" spans="1:12" ht="15" customHeight="1">
      <c r="A15" s="349" t="s">
        <v>8</v>
      </c>
      <c r="B15" s="348"/>
      <c r="C15" s="351"/>
      <c r="D15" s="348"/>
      <c r="E15" s="348"/>
      <c r="F15" s="348"/>
      <c r="G15" s="348"/>
      <c r="H15" s="348"/>
      <c r="I15" s="348"/>
      <c r="J15" s="3"/>
      <c r="K15" s="1"/>
      <c r="L15" s="1"/>
    </row>
    <row r="16" spans="1:12" ht="15" customHeight="1">
      <c r="A16" s="349" t="s">
        <v>9</v>
      </c>
      <c r="B16" s="348"/>
      <c r="C16" s="351"/>
      <c r="D16" s="348"/>
      <c r="E16" s="348"/>
      <c r="F16" s="348"/>
      <c r="G16" s="348"/>
      <c r="H16" s="348"/>
      <c r="I16" s="348"/>
      <c r="J16" s="3"/>
      <c r="K16" s="1"/>
      <c r="L16" s="1"/>
    </row>
    <row r="17" spans="1:12" ht="15" customHeight="1">
      <c r="A17" s="352" t="s">
        <v>10</v>
      </c>
      <c r="B17" s="348"/>
      <c r="C17" s="348"/>
      <c r="D17" s="348"/>
      <c r="E17" s="348"/>
      <c r="F17" s="348"/>
      <c r="G17" s="348"/>
      <c r="H17" s="348"/>
      <c r="I17" s="348"/>
      <c r="J17" s="4"/>
      <c r="K17" s="1"/>
      <c r="L17" s="1"/>
    </row>
    <row r="18" spans="1:12" ht="15" customHeight="1">
      <c r="A18" s="349" t="s">
        <v>17</v>
      </c>
      <c r="B18" s="348"/>
      <c r="C18" s="351"/>
      <c r="D18" s="348"/>
      <c r="E18" s="348"/>
      <c r="F18" s="348"/>
      <c r="G18" s="348"/>
      <c r="H18" s="348"/>
      <c r="I18" s="348"/>
      <c r="J18" s="3"/>
      <c r="K18" s="1"/>
      <c r="L18" s="1"/>
    </row>
    <row r="19" spans="1:12" ht="15" customHeight="1">
      <c r="A19" s="349" t="s">
        <v>11</v>
      </c>
      <c r="B19" s="348"/>
      <c r="C19" s="351"/>
      <c r="D19" s="348"/>
      <c r="E19" s="348"/>
      <c r="F19" s="348"/>
      <c r="G19" s="348"/>
      <c r="H19" s="348"/>
      <c r="I19" s="348"/>
      <c r="J19" s="3"/>
      <c r="K19" s="1"/>
      <c r="L19" s="1"/>
    </row>
    <row r="20" spans="1:12" ht="15" customHeight="1">
      <c r="A20" s="349" t="s">
        <v>12</v>
      </c>
      <c r="B20" s="348"/>
      <c r="C20" s="350"/>
      <c r="D20" s="348"/>
      <c r="E20" s="348"/>
      <c r="F20" s="348"/>
      <c r="G20" s="348"/>
      <c r="H20" s="348"/>
      <c r="I20" s="348"/>
      <c r="J20" s="3"/>
      <c r="K20" s="1"/>
      <c r="L20" s="1"/>
    </row>
    <row r="21" spans="1:12" ht="15" customHeight="1">
      <c r="A21" s="349" t="s">
        <v>13</v>
      </c>
      <c r="B21" s="348"/>
      <c r="C21" s="350"/>
      <c r="D21" s="348"/>
      <c r="E21" s="348"/>
      <c r="F21" s="348"/>
      <c r="G21" s="348"/>
      <c r="H21" s="348"/>
      <c r="I21" s="348"/>
      <c r="J21" s="3"/>
      <c r="K21" s="1"/>
      <c r="L21" s="1"/>
    </row>
    <row r="22" spans="1:12" ht="15" customHeight="1">
      <c r="A22" s="349" t="s">
        <v>8</v>
      </c>
      <c r="B22" s="348"/>
      <c r="C22" s="350"/>
      <c r="D22" s="348"/>
      <c r="E22" s="348"/>
      <c r="F22" s="348"/>
      <c r="G22" s="348"/>
      <c r="H22" s="348"/>
      <c r="I22" s="348"/>
      <c r="J22" s="3"/>
      <c r="K22" s="1"/>
      <c r="L22" s="1"/>
    </row>
    <row r="23" spans="1:12" ht="15" customHeight="1">
      <c r="A23" s="2"/>
      <c r="B23" s="2"/>
      <c r="C23" s="3"/>
      <c r="D23" s="3"/>
      <c r="E23" s="3"/>
      <c r="F23" s="3"/>
      <c r="G23" s="3"/>
      <c r="H23" s="3"/>
      <c r="I23" s="3"/>
      <c r="J23" s="3"/>
      <c r="K23" s="1"/>
      <c r="L23" s="1"/>
    </row>
    <row r="24" spans="1:12" ht="15" customHeight="1">
      <c r="A24" s="8" t="s">
        <v>18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2.75" customHeight="1">
      <c r="A25" s="9" t="s">
        <v>19</v>
      </c>
      <c r="B25" s="343" t="s">
        <v>20</v>
      </c>
      <c r="C25" s="344"/>
      <c r="D25" s="344"/>
      <c r="E25" s="345"/>
      <c r="F25" s="9" t="s">
        <v>21</v>
      </c>
      <c r="G25" s="9" t="s">
        <v>22</v>
      </c>
      <c r="H25" s="9" t="s">
        <v>23</v>
      </c>
      <c r="I25" s="9" t="s">
        <v>24</v>
      </c>
      <c r="J25" s="5"/>
      <c r="K25" s="1"/>
      <c r="L25" s="1"/>
    </row>
    <row r="26" spans="1:12" ht="114.75" customHeight="1">
      <c r="A26" s="10">
        <v>1</v>
      </c>
      <c r="B26" s="346" t="s">
        <v>25</v>
      </c>
      <c r="C26" s="344"/>
      <c r="D26" s="344"/>
      <c r="E26" s="345"/>
      <c r="F26" s="11" t="s">
        <v>26</v>
      </c>
      <c r="G26" s="11">
        <v>30</v>
      </c>
      <c r="H26" s="12">
        <f>TRUNC('Cálculo custoM²'!H70,2)</f>
        <v>22737.599999999999</v>
      </c>
      <c r="I26" s="12">
        <f>(H26*G26)</f>
        <v>682128</v>
      </c>
      <c r="J26" s="13"/>
      <c r="K26" s="1"/>
      <c r="L26" s="1"/>
    </row>
    <row r="27" spans="1:12" ht="16.5" customHeight="1">
      <c r="A27" s="14"/>
      <c r="B27" s="15" t="s">
        <v>27</v>
      </c>
      <c r="C27" s="16"/>
      <c r="D27" s="16"/>
      <c r="E27" s="17"/>
      <c r="F27" s="18"/>
      <c r="G27" s="19"/>
      <c r="H27" s="20"/>
      <c r="I27" s="21">
        <f>SUM(I26)</f>
        <v>682128</v>
      </c>
      <c r="J27" s="22"/>
      <c r="K27" s="1"/>
      <c r="L27" s="1"/>
    </row>
    <row r="28" spans="1:12" ht="1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5" customHeight="1">
      <c r="A29" s="342" t="s">
        <v>343</v>
      </c>
      <c r="B29" s="342"/>
      <c r="C29" s="337"/>
      <c r="D29" s="347"/>
      <c r="E29" s="348"/>
      <c r="F29" s="348"/>
      <c r="G29" s="348"/>
      <c r="H29" s="348"/>
      <c r="I29" s="348"/>
      <c r="J29" s="23"/>
      <c r="K29" s="1"/>
      <c r="L29" s="1"/>
    </row>
  </sheetData>
  <mergeCells count="33">
    <mergeCell ref="A2:I2"/>
    <mergeCell ref="B3:I3"/>
    <mergeCell ref="B5:I5"/>
    <mergeCell ref="B6:I6"/>
    <mergeCell ref="B8:I8"/>
    <mergeCell ref="A10:I10"/>
    <mergeCell ref="A11:B11"/>
    <mergeCell ref="C11:I11"/>
    <mergeCell ref="A12:B12"/>
    <mergeCell ref="C12:I12"/>
    <mergeCell ref="C13:I13"/>
    <mergeCell ref="A21:B21"/>
    <mergeCell ref="A22:B22"/>
    <mergeCell ref="A17:I17"/>
    <mergeCell ref="C18:I18"/>
    <mergeCell ref="C19:I19"/>
    <mergeCell ref="C20:I20"/>
    <mergeCell ref="A29:B29"/>
    <mergeCell ref="B25:E25"/>
    <mergeCell ref="B26:E26"/>
    <mergeCell ref="D29:I29"/>
    <mergeCell ref="A13:B13"/>
    <mergeCell ref="A14:B14"/>
    <mergeCell ref="A15:B15"/>
    <mergeCell ref="A16:B16"/>
    <mergeCell ref="A18:B18"/>
    <mergeCell ref="A19:B19"/>
    <mergeCell ref="A20:B20"/>
    <mergeCell ref="C21:I21"/>
    <mergeCell ref="C22:I22"/>
    <mergeCell ref="C14:I14"/>
    <mergeCell ref="C15:I15"/>
    <mergeCell ref="C16:I16"/>
  </mergeCells>
  <printOptions horizontalCentered="1"/>
  <pageMargins left="0.25" right="0.25" top="0.75" bottom="0.75" header="0" footer="0"/>
  <pageSetup paperSize="9" scale="92" fitToHeight="0" orientation="portrait" r:id="rId1"/>
  <headerFooter>
    <oddHeader>&amp;R &amp;F &amp;A</oddHeader>
    <oddFooter>&amp;C&amp;P/&amp;RGestão Formal de Contratos (visto)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  <pageSetUpPr fitToPage="1"/>
  </sheetPr>
  <dimension ref="A1:R136"/>
  <sheetViews>
    <sheetView workbookViewId="0">
      <selection activeCell="J8" sqref="J8"/>
    </sheetView>
  </sheetViews>
  <sheetFormatPr defaultColWidth="14.44140625" defaultRowHeight="15" customHeight="1"/>
  <cols>
    <col min="1" max="1" width="5.6640625" customWidth="1"/>
    <col min="2" max="2" width="57.109375" customWidth="1"/>
    <col min="3" max="3" width="10" style="60" customWidth="1"/>
    <col min="4" max="5" width="18.5546875" customWidth="1"/>
    <col min="6" max="6" width="11.5546875" customWidth="1"/>
    <col min="7" max="7" width="13.6640625" customWidth="1"/>
    <col min="8" max="8" width="10.44140625" customWidth="1"/>
    <col min="9" max="9" width="12.88671875" customWidth="1"/>
    <col min="10" max="18" width="8.88671875" customWidth="1"/>
  </cols>
  <sheetData>
    <row r="1" spans="1:18" ht="15" customHeight="1">
      <c r="A1" s="361" t="s">
        <v>286</v>
      </c>
      <c r="B1" s="361"/>
      <c r="C1" s="361"/>
      <c r="D1" s="361"/>
      <c r="E1" s="361"/>
    </row>
    <row r="2" spans="1:18" ht="15" customHeight="1">
      <c r="A2" s="361"/>
      <c r="B2" s="361"/>
      <c r="C2" s="361"/>
      <c r="D2" s="361"/>
      <c r="E2" s="361"/>
    </row>
    <row r="3" spans="1:18" ht="15" customHeight="1">
      <c r="A3" s="361"/>
      <c r="B3" s="361"/>
      <c r="C3" s="361"/>
      <c r="D3" s="361"/>
      <c r="E3" s="361"/>
    </row>
    <row r="4" spans="1:18" ht="57.75" customHeight="1">
      <c r="A4" s="361"/>
      <c r="B4" s="361"/>
      <c r="C4" s="361"/>
      <c r="D4" s="361"/>
      <c r="E4" s="361"/>
    </row>
    <row r="5" spans="1:18" ht="15" customHeight="1">
      <c r="A5" s="60"/>
      <c r="E5" s="61"/>
    </row>
    <row r="6" spans="1:18" s="238" customFormat="1" ht="15" customHeight="1">
      <c r="A6" s="237" t="s">
        <v>28</v>
      </c>
      <c r="C6" s="64"/>
    </row>
    <row r="7" spans="1:18" s="238" customFormat="1" ht="15" customHeight="1">
      <c r="A7" s="237" t="s">
        <v>287</v>
      </c>
      <c r="C7" s="64"/>
    </row>
    <row r="8" spans="1:18" s="238" customFormat="1" ht="15" customHeight="1">
      <c r="C8" s="64"/>
    </row>
    <row r="9" spans="1:18" s="238" customFormat="1" ht="12.75" customHeight="1">
      <c r="A9" s="239" t="s">
        <v>29</v>
      </c>
      <c r="B9" s="239"/>
      <c r="C9" s="240"/>
      <c r="D9" s="239"/>
      <c r="E9" s="239"/>
      <c r="F9" s="241"/>
      <c r="G9" s="241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</row>
    <row r="10" spans="1:18" s="238" customFormat="1" ht="12.75" customHeight="1">
      <c r="A10" s="243" t="s">
        <v>30</v>
      </c>
      <c r="B10" s="244" t="s">
        <v>31</v>
      </c>
      <c r="C10" s="240"/>
      <c r="D10" s="245"/>
      <c r="E10" s="246"/>
      <c r="F10" s="241"/>
      <c r="G10" s="241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</row>
    <row r="11" spans="1:18" s="238" customFormat="1" ht="12.75" customHeight="1">
      <c r="A11" s="247" t="s">
        <v>32</v>
      </c>
      <c r="B11" s="244" t="s">
        <v>33</v>
      </c>
      <c r="C11" s="240"/>
      <c r="D11" s="246"/>
      <c r="E11" s="246"/>
      <c r="F11" s="241"/>
      <c r="G11" s="241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</row>
    <row r="12" spans="1:18" s="238" customFormat="1" ht="12.75" customHeight="1">
      <c r="A12" s="243" t="s">
        <v>34</v>
      </c>
      <c r="B12" s="244" t="s">
        <v>35</v>
      </c>
      <c r="C12" s="240"/>
      <c r="D12" s="248"/>
      <c r="E12" s="249"/>
      <c r="F12" s="241"/>
      <c r="G12" s="241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</row>
    <row r="13" spans="1:18" s="238" customFormat="1" ht="12.75" customHeight="1">
      <c r="A13" s="247" t="s">
        <v>36</v>
      </c>
      <c r="B13" s="244" t="s">
        <v>37</v>
      </c>
      <c r="C13" s="240"/>
      <c r="D13" s="250"/>
      <c r="E13" s="250"/>
      <c r="F13" s="241"/>
      <c r="G13" s="241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</row>
    <row r="14" spans="1:18" s="238" customFormat="1" ht="12.75" customHeight="1">
      <c r="A14" s="247"/>
      <c r="B14" s="244"/>
      <c r="C14" s="240"/>
      <c r="D14" s="250"/>
      <c r="E14" s="250"/>
      <c r="F14" s="241"/>
      <c r="G14" s="241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</row>
    <row r="15" spans="1:18" s="238" customFormat="1" ht="12.75" customHeight="1">
      <c r="A15" s="237" t="s">
        <v>38</v>
      </c>
      <c r="B15" s="239"/>
      <c r="C15" s="240"/>
      <c r="D15" s="239"/>
      <c r="E15" s="239"/>
      <c r="F15" s="241"/>
      <c r="G15" s="241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</row>
    <row r="16" spans="1:18" s="238" customFormat="1" ht="12.75" customHeight="1">
      <c r="A16" s="362" t="s">
        <v>39</v>
      </c>
      <c r="B16" s="362"/>
      <c r="C16" s="362"/>
      <c r="D16" s="251" t="s">
        <v>40</v>
      </c>
      <c r="E16" s="251" t="s">
        <v>40</v>
      </c>
      <c r="F16" s="241"/>
      <c r="G16" s="241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</row>
    <row r="17" spans="1:18" s="238" customFormat="1" ht="12.75" customHeight="1">
      <c r="A17" s="362" t="s">
        <v>41</v>
      </c>
      <c r="B17" s="362"/>
      <c r="C17" s="362"/>
      <c r="D17" s="251">
        <v>1</v>
      </c>
      <c r="E17" s="251">
        <v>1</v>
      </c>
      <c r="F17" s="241"/>
      <c r="G17" s="241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</row>
    <row r="18" spans="1:18" s="238" customFormat="1" ht="12.75" customHeight="1">
      <c r="A18" s="362" t="s">
        <v>42</v>
      </c>
      <c r="B18" s="362"/>
      <c r="C18" s="362"/>
      <c r="D18" s="251">
        <v>22</v>
      </c>
      <c r="E18" s="251">
        <v>22</v>
      </c>
      <c r="F18" s="241"/>
      <c r="G18" s="241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</row>
    <row r="19" spans="1:18" s="238" customFormat="1" ht="12.75" customHeight="1">
      <c r="A19" s="362" t="s">
        <v>43</v>
      </c>
      <c r="B19" s="362"/>
      <c r="C19" s="362"/>
      <c r="D19" s="251">
        <v>44</v>
      </c>
      <c r="E19" s="251">
        <v>44</v>
      </c>
      <c r="F19" s="241"/>
      <c r="G19" s="241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</row>
    <row r="20" spans="1:18" s="238" customFormat="1" ht="12.75" customHeight="1">
      <c r="A20" s="237" t="s">
        <v>44</v>
      </c>
      <c r="B20" s="237"/>
      <c r="C20" s="252"/>
      <c r="D20" s="237"/>
      <c r="E20" s="237"/>
      <c r="F20" s="241"/>
      <c r="G20" s="241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</row>
    <row r="21" spans="1:18" s="238" customFormat="1" ht="14.4">
      <c r="A21" s="253">
        <v>1</v>
      </c>
      <c r="B21" s="363" t="s">
        <v>45</v>
      </c>
      <c r="C21" s="364"/>
      <c r="D21" s="254" t="str">
        <f t="shared" ref="D21:E21" si="0">D16</f>
        <v>Servente de Limpeza</v>
      </c>
      <c r="E21" s="254" t="str">
        <f t="shared" si="0"/>
        <v>Servente de Limpeza</v>
      </c>
      <c r="F21" s="246"/>
      <c r="G21" s="246"/>
      <c r="H21" s="255"/>
      <c r="I21" s="255"/>
      <c r="J21" s="255"/>
      <c r="K21" s="255"/>
      <c r="L21" s="255"/>
      <c r="M21" s="255"/>
      <c r="N21" s="255"/>
      <c r="O21" s="255"/>
      <c r="P21" s="255"/>
      <c r="Q21" s="255"/>
      <c r="R21" s="255"/>
    </row>
    <row r="22" spans="1:18" s="238" customFormat="1" ht="12.75" customHeight="1">
      <c r="A22" s="256">
        <v>2</v>
      </c>
      <c r="B22" s="365" t="s">
        <v>46</v>
      </c>
      <c r="C22" s="366"/>
      <c r="D22" s="251" t="s">
        <v>47</v>
      </c>
      <c r="E22" s="257" t="s">
        <v>47</v>
      </c>
      <c r="F22" s="241"/>
      <c r="G22" s="241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</row>
    <row r="23" spans="1:18" s="238" customFormat="1" ht="12.75" customHeight="1">
      <c r="A23" s="256">
        <v>3</v>
      </c>
      <c r="B23" s="365" t="s">
        <v>48</v>
      </c>
      <c r="C23" s="366"/>
      <c r="D23" s="258">
        <v>1653.63</v>
      </c>
      <c r="E23" s="258">
        <v>1653.63</v>
      </c>
      <c r="F23" s="241"/>
      <c r="G23" s="241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</row>
    <row r="24" spans="1:18" s="238" customFormat="1" ht="12.75" customHeight="1">
      <c r="A24" s="256">
        <v>4</v>
      </c>
      <c r="B24" s="365" t="s">
        <v>49</v>
      </c>
      <c r="C24" s="366"/>
      <c r="D24" s="259" t="str">
        <f t="shared" ref="D24:E24" si="1">D16</f>
        <v>Servente de Limpeza</v>
      </c>
      <c r="E24" s="259" t="str">
        <f t="shared" si="1"/>
        <v>Servente de Limpeza</v>
      </c>
      <c r="F24" s="241"/>
      <c r="G24" s="241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242"/>
    </row>
    <row r="25" spans="1:18" s="238" customFormat="1" ht="12.75" customHeight="1">
      <c r="A25" s="256">
        <v>5</v>
      </c>
      <c r="B25" s="365" t="s">
        <v>50</v>
      </c>
      <c r="C25" s="366"/>
      <c r="D25" s="260">
        <v>45658</v>
      </c>
      <c r="E25" s="260">
        <f>D25</f>
        <v>45658</v>
      </c>
      <c r="F25" s="241"/>
      <c r="G25" s="241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</row>
    <row r="26" spans="1:18" s="238" customFormat="1" ht="12.75" customHeight="1">
      <c r="A26" s="237"/>
      <c r="B26" s="239"/>
      <c r="C26" s="240"/>
      <c r="D26" s="239"/>
      <c r="E26" s="239"/>
      <c r="F26" s="241"/>
      <c r="G26" s="241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</row>
    <row r="27" spans="1:18" s="238" customFormat="1" ht="12.75" customHeight="1">
      <c r="A27" s="261"/>
      <c r="B27" s="262" t="s">
        <v>51</v>
      </c>
      <c r="C27" s="263"/>
      <c r="D27" s="264"/>
      <c r="E27" s="264"/>
      <c r="F27" s="241"/>
      <c r="G27" s="241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242"/>
    </row>
    <row r="28" spans="1:18" s="238" customFormat="1" ht="12.75" customHeight="1">
      <c r="A28" s="265">
        <v>1</v>
      </c>
      <c r="B28" s="266" t="s">
        <v>52</v>
      </c>
      <c r="C28" s="267" t="s">
        <v>53</v>
      </c>
      <c r="D28" s="268" t="s">
        <v>54</v>
      </c>
      <c r="E28" s="269" t="s">
        <v>54</v>
      </c>
      <c r="F28" s="241"/>
      <c r="G28" s="241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</row>
    <row r="29" spans="1:18" s="238" customFormat="1" ht="12.75" customHeight="1">
      <c r="A29" s="270" t="s">
        <v>30</v>
      </c>
      <c r="B29" s="271" t="s">
        <v>55</v>
      </c>
      <c r="C29" s="272"/>
      <c r="D29" s="273">
        <f t="shared" ref="D29:E29" si="2">D23</f>
        <v>1653.63</v>
      </c>
      <c r="E29" s="273">
        <f t="shared" si="2"/>
        <v>1653.63</v>
      </c>
      <c r="F29" s="241"/>
      <c r="G29" s="241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</row>
    <row r="30" spans="1:18" s="238" customFormat="1" ht="12.75" customHeight="1">
      <c r="A30" s="270" t="s">
        <v>32</v>
      </c>
      <c r="B30" s="271" t="s">
        <v>56</v>
      </c>
      <c r="C30" s="274">
        <v>0.3</v>
      </c>
      <c r="D30" s="273">
        <v>0</v>
      </c>
      <c r="E30" s="273">
        <f>E29*C30</f>
        <v>496.089</v>
      </c>
      <c r="F30" s="241"/>
      <c r="G30" s="241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</row>
    <row r="31" spans="1:18" s="238" customFormat="1" ht="12.75" customHeight="1">
      <c r="A31" s="270" t="s">
        <v>57</v>
      </c>
      <c r="B31" s="271" t="s">
        <v>58</v>
      </c>
      <c r="C31" s="274">
        <v>0.2</v>
      </c>
      <c r="D31" s="273">
        <f>D29*C31</f>
        <v>330.72600000000006</v>
      </c>
      <c r="E31" s="273">
        <v>0</v>
      </c>
      <c r="F31" s="241"/>
      <c r="G31" s="241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</row>
    <row r="32" spans="1:18" s="238" customFormat="1" ht="12.75" customHeight="1">
      <c r="A32" s="270" t="s">
        <v>36</v>
      </c>
      <c r="B32" s="271" t="s">
        <v>59</v>
      </c>
      <c r="C32" s="272"/>
      <c r="D32" s="273">
        <v>0</v>
      </c>
      <c r="E32" s="273">
        <v>0</v>
      </c>
      <c r="F32" s="241"/>
      <c r="G32" s="241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</row>
    <row r="33" spans="1:18" s="238" customFormat="1" ht="12.75" customHeight="1">
      <c r="A33" s="270" t="s">
        <v>60</v>
      </c>
      <c r="B33" s="271" t="s">
        <v>61</v>
      </c>
      <c r="C33" s="272"/>
      <c r="D33" s="273">
        <v>0</v>
      </c>
      <c r="E33" s="273">
        <v>0</v>
      </c>
      <c r="F33" s="241"/>
      <c r="G33" s="241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</row>
    <row r="34" spans="1:18" s="238" customFormat="1" ht="12.75" customHeight="1">
      <c r="A34" s="270" t="s">
        <v>62</v>
      </c>
      <c r="B34" s="271" t="s">
        <v>63</v>
      </c>
      <c r="C34" s="272"/>
      <c r="D34" s="273">
        <v>0</v>
      </c>
      <c r="E34" s="273">
        <v>0</v>
      </c>
      <c r="F34" s="241"/>
      <c r="G34" s="241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</row>
    <row r="35" spans="1:18" s="238" customFormat="1" ht="12.75" customHeight="1">
      <c r="A35" s="261"/>
      <c r="B35" s="262" t="s">
        <v>64</v>
      </c>
      <c r="C35" s="263"/>
      <c r="D35" s="275">
        <f t="shared" ref="D35:E35" si="3">SUM(D29:D34)</f>
        <v>1984.3560000000002</v>
      </c>
      <c r="E35" s="276">
        <f t="shared" si="3"/>
        <v>2149.7190000000001</v>
      </c>
      <c r="F35" s="241"/>
      <c r="G35" s="241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</row>
    <row r="36" spans="1:18" s="238" customFormat="1" ht="12.75" customHeight="1">
      <c r="A36" s="357" t="s">
        <v>65</v>
      </c>
      <c r="B36" s="358"/>
      <c r="C36" s="358"/>
      <c r="D36" s="358"/>
      <c r="E36" s="359"/>
      <c r="F36" s="241"/>
      <c r="G36" s="241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</row>
    <row r="37" spans="1:18" s="238" customFormat="1" ht="12.75" customHeight="1">
      <c r="A37" s="357" t="s">
        <v>66</v>
      </c>
      <c r="B37" s="358"/>
      <c r="C37" s="358"/>
      <c r="D37" s="358"/>
      <c r="E37" s="359"/>
      <c r="F37" s="241"/>
      <c r="G37" s="241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</row>
    <row r="38" spans="1:18" s="238" customFormat="1" ht="12.75" customHeight="1">
      <c r="A38" s="269" t="s">
        <v>67</v>
      </c>
      <c r="B38" s="262" t="s">
        <v>68</v>
      </c>
      <c r="C38" s="267" t="s">
        <v>53</v>
      </c>
      <c r="D38" s="268" t="s">
        <v>54</v>
      </c>
      <c r="E38" s="269" t="s">
        <v>54</v>
      </c>
      <c r="F38" s="241"/>
      <c r="G38" s="241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</row>
    <row r="39" spans="1:18" s="238" customFormat="1" ht="12.75" customHeight="1">
      <c r="A39" s="270" t="s">
        <v>30</v>
      </c>
      <c r="B39" s="271" t="s">
        <v>69</v>
      </c>
      <c r="C39" s="274">
        <f>1/12</f>
        <v>8.3333333333333329E-2</v>
      </c>
      <c r="D39" s="273">
        <f>D35*C39</f>
        <v>165.363</v>
      </c>
      <c r="E39" s="273">
        <f>E35*C39</f>
        <v>179.14324999999999</v>
      </c>
      <c r="F39" s="241"/>
      <c r="G39" s="241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</row>
    <row r="40" spans="1:18" s="238" customFormat="1" ht="12.75" customHeight="1">
      <c r="A40" s="270" t="s">
        <v>32</v>
      </c>
      <c r="B40" s="271" t="s">
        <v>70</v>
      </c>
      <c r="C40" s="274">
        <f>(1/12)/3</f>
        <v>2.7777777777777776E-2</v>
      </c>
      <c r="D40" s="273">
        <f>D35*C40</f>
        <v>55.121000000000002</v>
      </c>
      <c r="E40" s="273">
        <f>E35*C40</f>
        <v>59.714416666666665</v>
      </c>
      <c r="F40" s="241"/>
      <c r="G40" s="241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</row>
    <row r="41" spans="1:18" s="238" customFormat="1" ht="12.75" customHeight="1">
      <c r="A41" s="261"/>
      <c r="B41" s="262" t="s">
        <v>64</v>
      </c>
      <c r="C41" s="277">
        <f t="shared" ref="C41:E41" si="4">SUM(C39:C40)</f>
        <v>0.1111111111111111</v>
      </c>
      <c r="D41" s="278">
        <f t="shared" si="4"/>
        <v>220.48400000000001</v>
      </c>
      <c r="E41" s="278">
        <f t="shared" si="4"/>
        <v>238.85766666666666</v>
      </c>
      <c r="F41" s="241"/>
      <c r="G41" s="241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</row>
    <row r="42" spans="1:18" s="238" customFormat="1" ht="12.75" customHeight="1">
      <c r="A42" s="360"/>
      <c r="B42" s="358"/>
      <c r="C42" s="358"/>
      <c r="D42" s="358"/>
      <c r="E42" s="359"/>
      <c r="F42" s="241"/>
      <c r="G42" s="241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</row>
    <row r="43" spans="1:18" s="238" customFormat="1" ht="12.75" customHeight="1">
      <c r="A43" s="367" t="s">
        <v>71</v>
      </c>
      <c r="B43" s="358"/>
      <c r="C43" s="359"/>
      <c r="D43" s="278">
        <f t="shared" ref="D43:E43" si="5">D41+D35</f>
        <v>2204.84</v>
      </c>
      <c r="E43" s="278">
        <f t="shared" si="5"/>
        <v>2388.5766666666668</v>
      </c>
      <c r="F43" s="241"/>
      <c r="G43" s="241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</row>
    <row r="44" spans="1:18" s="238" customFormat="1" ht="12.75" customHeight="1">
      <c r="A44" s="279" t="s">
        <v>72</v>
      </c>
      <c r="B44" s="271"/>
      <c r="C44" s="272"/>
      <c r="D44" s="271"/>
      <c r="E44" s="271"/>
      <c r="F44" s="241"/>
      <c r="G44" s="241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242"/>
    </row>
    <row r="45" spans="1:18" s="238" customFormat="1" ht="12.75" customHeight="1">
      <c r="A45" s="269" t="s">
        <v>73</v>
      </c>
      <c r="B45" s="262" t="s">
        <v>74</v>
      </c>
      <c r="C45" s="267" t="s">
        <v>53</v>
      </c>
      <c r="D45" s="268" t="s">
        <v>54</v>
      </c>
      <c r="E45" s="269" t="s">
        <v>54</v>
      </c>
      <c r="F45" s="241"/>
      <c r="G45" s="241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</row>
    <row r="46" spans="1:18" s="238" customFormat="1" ht="12.75" customHeight="1">
      <c r="A46" s="270" t="s">
        <v>30</v>
      </c>
      <c r="B46" s="271" t="s">
        <v>75</v>
      </c>
      <c r="C46" s="274">
        <v>0.2</v>
      </c>
      <c r="D46" s="273">
        <f>(D35+D41)*C46</f>
        <v>440.96800000000007</v>
      </c>
      <c r="E46" s="273">
        <f>(E35+E41)*C46</f>
        <v>477.71533333333338</v>
      </c>
      <c r="F46" s="241"/>
      <c r="G46" s="241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</row>
    <row r="47" spans="1:18" s="238" customFormat="1" ht="12.75" customHeight="1">
      <c r="A47" s="270" t="s">
        <v>32</v>
      </c>
      <c r="B47" s="271" t="s">
        <v>76</v>
      </c>
      <c r="C47" s="274">
        <v>2.5000000000000001E-2</v>
      </c>
      <c r="D47" s="273">
        <f>(D35+D41)*C47</f>
        <v>55.121000000000009</v>
      </c>
      <c r="E47" s="273">
        <f>(E35+E41)*C47</f>
        <v>59.714416666666672</v>
      </c>
      <c r="F47" s="241"/>
      <c r="G47" s="241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</row>
    <row r="48" spans="1:18" s="238" customFormat="1" ht="12.75" customHeight="1">
      <c r="A48" s="270" t="s">
        <v>57</v>
      </c>
      <c r="B48" s="271" t="s">
        <v>77</v>
      </c>
      <c r="C48" s="280">
        <v>0.03</v>
      </c>
      <c r="D48" s="273">
        <f>(D35+D41)*C48</f>
        <v>66.145200000000003</v>
      </c>
      <c r="E48" s="273">
        <f>(E35+E41)*C48</f>
        <v>71.657300000000006</v>
      </c>
      <c r="F48" s="241"/>
      <c r="G48" s="241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</row>
    <row r="49" spans="1:18" s="238" customFormat="1" ht="12.75" customHeight="1">
      <c r="A49" s="270" t="s">
        <v>36</v>
      </c>
      <c r="B49" s="271" t="s">
        <v>78</v>
      </c>
      <c r="C49" s="274">
        <v>1.4999999999999999E-2</v>
      </c>
      <c r="D49" s="273">
        <f>(D35+D41)*C49</f>
        <v>33.072600000000001</v>
      </c>
      <c r="E49" s="273">
        <f>(E35+E41)*C49</f>
        <v>35.828650000000003</v>
      </c>
      <c r="F49" s="241"/>
      <c r="G49" s="241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</row>
    <row r="50" spans="1:18" s="238" customFormat="1" ht="12.75" customHeight="1">
      <c r="A50" s="270" t="s">
        <v>60</v>
      </c>
      <c r="B50" s="271" t="s">
        <v>79</v>
      </c>
      <c r="C50" s="274">
        <v>0.01</v>
      </c>
      <c r="D50" s="273">
        <f>(D35+D41)*C50</f>
        <v>22.048400000000001</v>
      </c>
      <c r="E50" s="273">
        <f>(E35+E41)*C50</f>
        <v>23.885766666666669</v>
      </c>
      <c r="F50" s="241"/>
      <c r="G50" s="241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</row>
    <row r="51" spans="1:18" s="238" customFormat="1" ht="12.75" customHeight="1">
      <c r="A51" s="270" t="s">
        <v>62</v>
      </c>
      <c r="B51" s="271" t="s">
        <v>80</v>
      </c>
      <c r="C51" s="274">
        <v>6.0000000000000001E-3</v>
      </c>
      <c r="D51" s="273">
        <f>(D35+D41)*C51</f>
        <v>13.229040000000001</v>
      </c>
      <c r="E51" s="273">
        <f>(E35+E41)*C51</f>
        <v>14.331460000000002</v>
      </c>
      <c r="F51" s="241"/>
      <c r="G51" s="241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</row>
    <row r="52" spans="1:18" s="238" customFormat="1" ht="12.75" customHeight="1">
      <c r="A52" s="270" t="s">
        <v>81</v>
      </c>
      <c r="B52" s="271" t="s">
        <v>82</v>
      </c>
      <c r="C52" s="274">
        <v>2E-3</v>
      </c>
      <c r="D52" s="273">
        <f>(D35+D41)*C52</f>
        <v>4.4096800000000007</v>
      </c>
      <c r="E52" s="273">
        <f>(E35+E41)*C52</f>
        <v>4.7771533333333336</v>
      </c>
      <c r="F52" s="241"/>
      <c r="G52" s="241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</row>
    <row r="53" spans="1:18" s="238" customFormat="1" ht="12.75" customHeight="1">
      <c r="A53" s="270" t="s">
        <v>83</v>
      </c>
      <c r="B53" s="271" t="s">
        <v>84</v>
      </c>
      <c r="C53" s="274">
        <v>0.08</v>
      </c>
      <c r="D53" s="273">
        <f>(D35+D41)*C53</f>
        <v>176.38720000000001</v>
      </c>
      <c r="E53" s="273">
        <f>(E35+E41)*C53</f>
        <v>191.08613333333335</v>
      </c>
      <c r="F53" s="241"/>
      <c r="G53" s="241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2"/>
    </row>
    <row r="54" spans="1:18" s="238" customFormat="1" ht="12.75" customHeight="1">
      <c r="A54" s="261"/>
      <c r="B54" s="262" t="s">
        <v>64</v>
      </c>
      <c r="C54" s="281">
        <f t="shared" ref="C54:E54" si="6">SUM(C46:C53)</f>
        <v>0.36800000000000005</v>
      </c>
      <c r="D54" s="278">
        <f t="shared" si="6"/>
        <v>811.38112000000012</v>
      </c>
      <c r="E54" s="278">
        <f t="shared" si="6"/>
        <v>878.99621333333334</v>
      </c>
      <c r="F54" s="241"/>
      <c r="G54" s="241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2"/>
    </row>
    <row r="55" spans="1:18" s="238" customFormat="1" ht="12.75" customHeight="1">
      <c r="A55" s="357" t="s">
        <v>85</v>
      </c>
      <c r="B55" s="358"/>
      <c r="C55" s="358"/>
      <c r="D55" s="358"/>
      <c r="E55" s="359"/>
      <c r="F55" s="241"/>
      <c r="G55" s="241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</row>
    <row r="56" spans="1:18" s="238" customFormat="1" ht="12.75" customHeight="1">
      <c r="A56" s="269" t="s">
        <v>86</v>
      </c>
      <c r="B56" s="262" t="s">
        <v>87</v>
      </c>
      <c r="C56" s="267" t="s">
        <v>53</v>
      </c>
      <c r="D56" s="268" t="s">
        <v>54</v>
      </c>
      <c r="E56" s="269" t="s">
        <v>54</v>
      </c>
      <c r="F56" s="241"/>
      <c r="G56" s="241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2"/>
    </row>
    <row r="57" spans="1:18" s="238" customFormat="1" ht="12.75" customHeight="1">
      <c r="A57" s="270" t="s">
        <v>30</v>
      </c>
      <c r="B57" s="271" t="s">
        <v>88</v>
      </c>
      <c r="C57" s="282">
        <v>5.5</v>
      </c>
      <c r="D57" s="273">
        <f>(C57*2*D18)-(D29*6%)</f>
        <v>142.78219999999999</v>
      </c>
      <c r="E57" s="273">
        <f>(C57*2*E18)-(E29*6%)</f>
        <v>142.78219999999999</v>
      </c>
      <c r="F57" s="241"/>
      <c r="G57" s="241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</row>
    <row r="58" spans="1:18" s="238" customFormat="1" ht="12.75" customHeight="1">
      <c r="A58" s="270" t="s">
        <v>32</v>
      </c>
      <c r="B58" s="271" t="s">
        <v>89</v>
      </c>
      <c r="C58" s="282">
        <v>27.29</v>
      </c>
      <c r="D58" s="273">
        <f>(C58*D18)*0.99</f>
        <v>594.37620000000004</v>
      </c>
      <c r="E58" s="273">
        <f>(C58*E18)*0.99</f>
        <v>594.37620000000004</v>
      </c>
      <c r="F58" s="241"/>
      <c r="G58" s="241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</row>
    <row r="59" spans="1:18" s="238" customFormat="1" ht="12.75" customHeight="1">
      <c r="A59" s="270" t="s">
        <v>57</v>
      </c>
      <c r="B59" s="271" t="s">
        <v>90</v>
      </c>
      <c r="C59" s="282">
        <v>11</v>
      </c>
      <c r="D59" s="273">
        <f>C59</f>
        <v>11</v>
      </c>
      <c r="E59" s="273">
        <f>C59</f>
        <v>11</v>
      </c>
      <c r="F59" s="241"/>
      <c r="G59" s="241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2"/>
    </row>
    <row r="60" spans="1:18" s="238" customFormat="1" ht="12.75" customHeight="1">
      <c r="A60" s="283" t="s">
        <v>36</v>
      </c>
      <c r="B60" s="284" t="s">
        <v>91</v>
      </c>
      <c r="C60" s="285">
        <v>7.0000000000000007E-2</v>
      </c>
      <c r="D60" s="286">
        <f>D35*C60</f>
        <v>138.90492000000003</v>
      </c>
      <c r="E60" s="286">
        <f>E35*C60</f>
        <v>150.48033000000001</v>
      </c>
      <c r="F60" s="241"/>
      <c r="G60" s="241"/>
      <c r="H60" s="242"/>
      <c r="I60" s="242"/>
      <c r="J60" s="242"/>
      <c r="K60" s="242"/>
      <c r="L60" s="242"/>
      <c r="M60" s="242"/>
      <c r="N60" s="242"/>
      <c r="O60" s="242"/>
      <c r="P60" s="242"/>
      <c r="Q60" s="242"/>
      <c r="R60" s="242"/>
    </row>
    <row r="61" spans="1:18" s="238" customFormat="1" ht="12.75" customHeight="1">
      <c r="A61" s="287" t="s">
        <v>62</v>
      </c>
      <c r="B61" s="288" t="s">
        <v>63</v>
      </c>
      <c r="C61" s="289"/>
      <c r="D61" s="290">
        <v>0</v>
      </c>
      <c r="E61" s="290">
        <v>0</v>
      </c>
      <c r="F61" s="241"/>
      <c r="G61" s="241"/>
      <c r="H61" s="242"/>
      <c r="I61" s="242"/>
      <c r="J61" s="242"/>
      <c r="K61" s="242"/>
      <c r="L61" s="242"/>
      <c r="M61" s="242"/>
      <c r="N61" s="242"/>
      <c r="O61" s="242"/>
      <c r="P61" s="242"/>
      <c r="Q61" s="242"/>
      <c r="R61" s="242"/>
    </row>
    <row r="62" spans="1:18" s="238" customFormat="1" ht="12.75" customHeight="1">
      <c r="A62" s="291"/>
      <c r="B62" s="292" t="s">
        <v>64</v>
      </c>
      <c r="C62" s="293"/>
      <c r="D62" s="294">
        <f>SUM(D57:D61)</f>
        <v>887.06332000000009</v>
      </c>
      <c r="E62" s="294">
        <f>SUM(E57:E61)</f>
        <v>898.63873000000001</v>
      </c>
      <c r="F62" s="241"/>
      <c r="G62" s="241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42"/>
    </row>
    <row r="63" spans="1:18" s="238" customFormat="1" ht="12.75" customHeight="1">
      <c r="A63" s="295"/>
      <c r="B63" s="296" t="s">
        <v>288</v>
      </c>
      <c r="C63" s="297"/>
      <c r="D63" s="298"/>
      <c r="E63" s="295"/>
      <c r="F63" s="241"/>
      <c r="G63" s="241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242"/>
    </row>
    <row r="64" spans="1:18" s="238" customFormat="1" ht="12.75" customHeight="1">
      <c r="A64" s="265">
        <v>2</v>
      </c>
      <c r="B64" s="262" t="s">
        <v>92</v>
      </c>
      <c r="C64" s="267" t="s">
        <v>53</v>
      </c>
      <c r="D64" s="268" t="s">
        <v>54</v>
      </c>
      <c r="E64" s="269" t="s">
        <v>54</v>
      </c>
      <c r="F64" s="241"/>
      <c r="G64" s="241"/>
      <c r="H64" s="242"/>
      <c r="I64" s="242"/>
      <c r="J64" s="242"/>
      <c r="K64" s="242"/>
      <c r="L64" s="242"/>
      <c r="M64" s="242"/>
      <c r="N64" s="242"/>
      <c r="O64" s="242"/>
      <c r="P64" s="242"/>
      <c r="Q64" s="242"/>
      <c r="R64" s="242"/>
    </row>
    <row r="65" spans="1:18" s="238" customFormat="1" ht="14.4">
      <c r="A65" s="270" t="s">
        <v>67</v>
      </c>
      <c r="B65" s="271" t="s">
        <v>93</v>
      </c>
      <c r="C65" s="272"/>
      <c r="D65" s="273">
        <f>D41</f>
        <v>220.48400000000001</v>
      </c>
      <c r="E65" s="273">
        <f>E41</f>
        <v>238.85766666666666</v>
      </c>
      <c r="F65" s="241"/>
      <c r="G65" s="241"/>
      <c r="H65" s="242"/>
      <c r="I65" s="255"/>
      <c r="J65" s="299"/>
      <c r="K65" s="300"/>
      <c r="L65" s="301"/>
      <c r="M65" s="242"/>
      <c r="N65" s="242"/>
      <c r="O65" s="242"/>
      <c r="P65" s="242"/>
      <c r="Q65" s="242"/>
      <c r="R65" s="242"/>
    </row>
    <row r="66" spans="1:18" s="238" customFormat="1" ht="12.75" customHeight="1">
      <c r="A66" s="270" t="s">
        <v>73</v>
      </c>
      <c r="B66" s="271" t="s">
        <v>74</v>
      </c>
      <c r="C66" s="272"/>
      <c r="D66" s="273">
        <f>D54</f>
        <v>811.38112000000012</v>
      </c>
      <c r="E66" s="273">
        <f>E54</f>
        <v>878.99621333333334</v>
      </c>
      <c r="F66" s="241"/>
      <c r="G66" s="241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242"/>
    </row>
    <row r="67" spans="1:18" s="238" customFormat="1" ht="12.75" customHeight="1">
      <c r="A67" s="270" t="s">
        <v>86</v>
      </c>
      <c r="B67" s="271" t="s">
        <v>87</v>
      </c>
      <c r="C67" s="272"/>
      <c r="D67" s="273">
        <f t="shared" ref="D67:E67" si="7">D62</f>
        <v>887.06332000000009</v>
      </c>
      <c r="E67" s="273">
        <f t="shared" si="7"/>
        <v>898.63873000000001</v>
      </c>
      <c r="F67" s="241"/>
      <c r="G67" s="241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242"/>
    </row>
    <row r="68" spans="1:18" s="238" customFormat="1" ht="12.75" customHeight="1">
      <c r="A68" s="261"/>
      <c r="B68" s="262" t="s">
        <v>64</v>
      </c>
      <c r="C68" s="263"/>
      <c r="D68" s="278">
        <f t="shared" ref="D68:E68" si="8">SUM(D65:D67)</f>
        <v>1918.9284400000001</v>
      </c>
      <c r="E68" s="278">
        <f t="shared" si="8"/>
        <v>2016.4926100000002</v>
      </c>
      <c r="F68" s="241"/>
      <c r="G68" s="241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</row>
    <row r="69" spans="1:18" s="238" customFormat="1" ht="12.75" customHeight="1">
      <c r="A69" s="357" t="s">
        <v>94</v>
      </c>
      <c r="B69" s="358"/>
      <c r="C69" s="358"/>
      <c r="D69" s="358"/>
      <c r="E69" s="359"/>
      <c r="F69" s="241"/>
      <c r="G69" s="241"/>
      <c r="H69" s="242"/>
      <c r="I69" s="242"/>
      <c r="J69" s="242"/>
      <c r="K69" s="242"/>
      <c r="L69" s="242"/>
      <c r="M69" s="242"/>
      <c r="N69" s="242"/>
      <c r="O69" s="242"/>
      <c r="P69" s="242"/>
      <c r="Q69" s="242"/>
      <c r="R69" s="242"/>
    </row>
    <row r="70" spans="1:18" s="238" customFormat="1" ht="12.75" customHeight="1">
      <c r="A70" s="265">
        <v>3</v>
      </c>
      <c r="B70" s="262" t="s">
        <v>95</v>
      </c>
      <c r="C70" s="267" t="s">
        <v>53</v>
      </c>
      <c r="D70" s="268" t="s">
        <v>54</v>
      </c>
      <c r="E70" s="269" t="s">
        <v>54</v>
      </c>
      <c r="F70" s="241"/>
      <c r="G70" s="241"/>
      <c r="H70" s="242"/>
      <c r="I70" s="242"/>
      <c r="J70" s="242"/>
      <c r="K70" s="242"/>
      <c r="L70" s="242"/>
      <c r="M70" s="242"/>
      <c r="N70" s="242"/>
      <c r="O70" s="242"/>
      <c r="P70" s="242"/>
      <c r="Q70" s="242"/>
      <c r="R70" s="242"/>
    </row>
    <row r="71" spans="1:18" s="238" customFormat="1" ht="12.75" customHeight="1">
      <c r="A71" s="270" t="s">
        <v>30</v>
      </c>
      <c r="B71" s="271" t="s">
        <v>96</v>
      </c>
      <c r="C71" s="274">
        <f>1/12*5%</f>
        <v>4.1666666666666666E-3</v>
      </c>
      <c r="D71" s="273">
        <f t="shared" ref="D71:D76" si="9">($D$35+$D$41)*C71</f>
        <v>9.1868333333333343</v>
      </c>
      <c r="E71" s="273">
        <f t="shared" ref="E71:E76" si="10">($E$35+$E$41)*C71</f>
        <v>9.9524027777777775</v>
      </c>
      <c r="F71" s="241"/>
      <c r="G71" s="241"/>
      <c r="H71" s="242"/>
      <c r="I71" s="242"/>
      <c r="J71" s="242"/>
      <c r="K71" s="242"/>
      <c r="L71" s="242"/>
      <c r="M71" s="242"/>
      <c r="N71" s="242"/>
      <c r="O71" s="242"/>
      <c r="P71" s="242"/>
      <c r="Q71" s="242"/>
      <c r="R71" s="242"/>
    </row>
    <row r="72" spans="1:18" s="238" customFormat="1" ht="12.75" customHeight="1">
      <c r="A72" s="270" t="s">
        <v>32</v>
      </c>
      <c r="B72" s="302" t="s">
        <v>97</v>
      </c>
      <c r="C72" s="274">
        <f>8%*C71</f>
        <v>3.3333333333333332E-4</v>
      </c>
      <c r="D72" s="273">
        <f t="shared" si="9"/>
        <v>0.73494666666666664</v>
      </c>
      <c r="E72" s="273">
        <f t="shared" si="10"/>
        <v>0.7961922222222223</v>
      </c>
      <c r="F72" s="241"/>
      <c r="G72" s="241"/>
      <c r="H72" s="242"/>
      <c r="I72" s="242"/>
      <c r="J72" s="242"/>
      <c r="K72" s="242"/>
      <c r="L72" s="242"/>
      <c r="M72" s="242"/>
      <c r="N72" s="242"/>
      <c r="O72" s="242"/>
      <c r="P72" s="242"/>
      <c r="Q72" s="242"/>
      <c r="R72" s="242"/>
    </row>
    <row r="73" spans="1:18" s="238" customFormat="1" ht="12.75" customHeight="1">
      <c r="A73" s="270" t="s">
        <v>57</v>
      </c>
      <c r="B73" s="302" t="s">
        <v>98</v>
      </c>
      <c r="C73" s="274">
        <f>40%*8%*5%</f>
        <v>1.6000000000000001E-3</v>
      </c>
      <c r="D73" s="273">
        <f t="shared" si="9"/>
        <v>3.5277440000000002</v>
      </c>
      <c r="E73" s="273">
        <f t="shared" si="10"/>
        <v>3.821722666666667</v>
      </c>
      <c r="F73" s="241"/>
      <c r="G73" s="241"/>
      <c r="H73" s="242"/>
      <c r="I73" s="242"/>
      <c r="J73" s="242"/>
      <c r="K73" s="242"/>
      <c r="L73" s="242"/>
      <c r="M73" s="242"/>
      <c r="N73" s="242"/>
      <c r="O73" s="242"/>
      <c r="P73" s="242"/>
      <c r="Q73" s="242"/>
      <c r="R73" s="242"/>
    </row>
    <row r="74" spans="1:18" s="238" customFormat="1" ht="12.75" customHeight="1">
      <c r="A74" s="270" t="s">
        <v>36</v>
      </c>
      <c r="B74" s="302" t="s">
        <v>99</v>
      </c>
      <c r="C74" s="274">
        <f>7/30/12*95%</f>
        <v>1.8472222222222223E-2</v>
      </c>
      <c r="D74" s="273">
        <f t="shared" si="9"/>
        <v>40.728294444444451</v>
      </c>
      <c r="E74" s="273">
        <f t="shared" si="10"/>
        <v>44.122318981481484</v>
      </c>
      <c r="F74" s="241"/>
      <c r="G74" s="241"/>
      <c r="H74" s="242"/>
      <c r="I74" s="242"/>
      <c r="J74" s="242"/>
      <c r="K74" s="242"/>
      <c r="L74" s="242"/>
      <c r="M74" s="242"/>
      <c r="N74" s="242"/>
      <c r="O74" s="242"/>
      <c r="P74" s="242"/>
      <c r="Q74" s="242"/>
      <c r="R74" s="242"/>
    </row>
    <row r="75" spans="1:18" s="238" customFormat="1" ht="12.75" customHeight="1">
      <c r="A75" s="270" t="s">
        <v>60</v>
      </c>
      <c r="B75" s="271" t="s">
        <v>100</v>
      </c>
      <c r="C75" s="274">
        <f>C74*C54</f>
        <v>6.7977777777777793E-3</v>
      </c>
      <c r="D75" s="273">
        <f t="shared" si="9"/>
        <v>14.98801235555556</v>
      </c>
      <c r="E75" s="273">
        <f t="shared" si="10"/>
        <v>16.23701338518519</v>
      </c>
      <c r="F75" s="241"/>
      <c r="G75" s="241"/>
      <c r="H75" s="242"/>
      <c r="I75" s="242"/>
      <c r="J75" s="242"/>
      <c r="K75" s="242"/>
      <c r="L75" s="242"/>
      <c r="M75" s="242"/>
      <c r="N75" s="242"/>
      <c r="O75" s="242"/>
      <c r="P75" s="242"/>
      <c r="Q75" s="242"/>
      <c r="R75" s="242"/>
    </row>
    <row r="76" spans="1:18" s="238" customFormat="1" ht="12.75" customHeight="1">
      <c r="A76" s="270" t="s">
        <v>62</v>
      </c>
      <c r="B76" s="271" t="s">
        <v>101</v>
      </c>
      <c r="C76" s="274">
        <f>40%*8%*95%</f>
        <v>3.04E-2</v>
      </c>
      <c r="D76" s="273">
        <f t="shared" si="9"/>
        <v>67.027135999999999</v>
      </c>
      <c r="E76" s="273">
        <f t="shared" si="10"/>
        <v>72.612730666666678</v>
      </c>
      <c r="F76" s="241"/>
      <c r="G76" s="241"/>
      <c r="H76" s="242"/>
      <c r="I76" s="242"/>
      <c r="J76" s="242"/>
      <c r="K76" s="242"/>
      <c r="L76" s="242"/>
      <c r="M76" s="242"/>
      <c r="N76" s="242"/>
      <c r="O76" s="242"/>
      <c r="P76" s="242"/>
      <c r="Q76" s="242"/>
      <c r="R76" s="242"/>
    </row>
    <row r="77" spans="1:18" s="238" customFormat="1" ht="12.75" customHeight="1">
      <c r="A77" s="261"/>
      <c r="B77" s="262" t="s">
        <v>64</v>
      </c>
      <c r="C77" s="281">
        <v>6.3100000000000003E-2</v>
      </c>
      <c r="D77" s="278">
        <f t="shared" ref="D77:E77" si="11">SUM(D71:D76)</f>
        <v>136.19296680000002</v>
      </c>
      <c r="E77" s="278">
        <f t="shared" si="11"/>
        <v>147.54238070000002</v>
      </c>
      <c r="F77" s="241"/>
      <c r="G77" s="241"/>
      <c r="H77" s="242"/>
      <c r="I77" s="242"/>
      <c r="J77" s="242"/>
      <c r="K77" s="242"/>
      <c r="L77" s="242"/>
      <c r="M77" s="242"/>
      <c r="N77" s="242"/>
      <c r="O77" s="242"/>
      <c r="P77" s="242"/>
      <c r="Q77" s="242"/>
      <c r="R77" s="242"/>
    </row>
    <row r="78" spans="1:18" s="238" customFormat="1" ht="12.75" customHeight="1">
      <c r="A78" s="303"/>
      <c r="B78" s="271" t="s">
        <v>102</v>
      </c>
      <c r="C78" s="272"/>
      <c r="D78" s="304"/>
      <c r="E78" s="303"/>
      <c r="F78" s="241"/>
      <c r="G78" s="241"/>
      <c r="H78" s="242"/>
      <c r="I78" s="242"/>
      <c r="J78" s="242"/>
      <c r="K78" s="242"/>
      <c r="L78" s="242"/>
      <c r="M78" s="242"/>
      <c r="N78" s="242"/>
      <c r="O78" s="242"/>
      <c r="P78" s="242"/>
      <c r="Q78" s="242"/>
      <c r="R78" s="242"/>
    </row>
    <row r="79" spans="1:18" s="238" customFormat="1" ht="12.75" customHeight="1">
      <c r="A79" s="303"/>
      <c r="B79" s="271" t="s">
        <v>103</v>
      </c>
      <c r="C79" s="272"/>
      <c r="D79" s="304"/>
      <c r="E79" s="303"/>
      <c r="F79" s="241"/>
      <c r="G79" s="241"/>
      <c r="H79" s="242"/>
      <c r="I79" s="242"/>
      <c r="J79" s="242"/>
      <c r="K79" s="242"/>
      <c r="L79" s="242"/>
      <c r="M79" s="242"/>
      <c r="N79" s="242"/>
      <c r="O79" s="242"/>
      <c r="P79" s="242"/>
      <c r="Q79" s="242"/>
      <c r="R79" s="242"/>
    </row>
    <row r="80" spans="1:18" s="238" customFormat="1" ht="39.6">
      <c r="A80" s="269" t="s">
        <v>104</v>
      </c>
      <c r="B80" s="262" t="s">
        <v>105</v>
      </c>
      <c r="C80" s="267"/>
      <c r="D80" s="268" t="s">
        <v>54</v>
      </c>
      <c r="E80" s="269" t="s">
        <v>54</v>
      </c>
      <c r="F80" s="66" t="s">
        <v>289</v>
      </c>
      <c r="G80" s="66" t="s">
        <v>290</v>
      </c>
      <c r="H80" s="242"/>
      <c r="I80" s="242"/>
      <c r="J80" s="242"/>
      <c r="K80" s="242"/>
      <c r="L80" s="242"/>
      <c r="M80" s="242"/>
      <c r="N80" s="242"/>
      <c r="O80" s="242"/>
      <c r="P80" s="242"/>
      <c r="Q80" s="242"/>
      <c r="R80" s="242"/>
    </row>
    <row r="81" spans="1:18" s="238" customFormat="1" ht="12.75" customHeight="1">
      <c r="A81" s="270" t="s">
        <v>30</v>
      </c>
      <c r="B81" s="271" t="s">
        <v>106</v>
      </c>
      <c r="C81" s="274">
        <f>1/12+1/12/12+1/12/12+1/12/12/3</f>
        <v>9.9537037037037035E-2</v>
      </c>
      <c r="D81" s="273">
        <f>(D35*C81)+(D35*C81)*C54</f>
        <v>270.20314200000001</v>
      </c>
      <c r="E81" s="273">
        <f>(E35*C81)+(E35*C81)*C54</f>
        <v>292.72007050000002</v>
      </c>
      <c r="F81" s="305"/>
      <c r="G81" s="306"/>
      <c r="H81" s="242"/>
      <c r="I81" s="242"/>
      <c r="J81" s="242"/>
      <c r="K81" s="242"/>
      <c r="L81" s="242"/>
      <c r="M81" s="242"/>
      <c r="N81" s="242"/>
      <c r="O81" s="242"/>
      <c r="P81" s="242"/>
      <c r="Q81" s="242"/>
      <c r="R81" s="242"/>
    </row>
    <row r="82" spans="1:18" s="238" customFormat="1" ht="12.75" customHeight="1">
      <c r="A82" s="270" t="s">
        <v>32</v>
      </c>
      <c r="B82" s="271" t="s">
        <v>107</v>
      </c>
      <c r="C82" s="274">
        <f>F82/30/12*G82</f>
        <v>1.3888888888888888E-2</v>
      </c>
      <c r="D82" s="273">
        <f>(D35*C82)+(D35*C82)*C54</f>
        <v>37.702764000000002</v>
      </c>
      <c r="E82" s="273">
        <f>(E35*C82)+(E35*C82)*C54</f>
        <v>40.844661000000002</v>
      </c>
      <c r="F82" s="307">
        <v>5</v>
      </c>
      <c r="G82" s="308">
        <v>1</v>
      </c>
      <c r="H82" s="242"/>
      <c r="I82" s="242"/>
      <c r="J82" s="242"/>
      <c r="K82" s="242"/>
      <c r="L82" s="242"/>
      <c r="M82" s="242"/>
      <c r="N82" s="242"/>
      <c r="O82" s="242"/>
      <c r="P82" s="242"/>
      <c r="Q82" s="242"/>
      <c r="R82" s="242"/>
    </row>
    <row r="83" spans="1:18" s="238" customFormat="1" ht="12.75" customHeight="1">
      <c r="A83" s="270" t="s">
        <v>57</v>
      </c>
      <c r="B83" s="271" t="s">
        <v>108</v>
      </c>
      <c r="C83" s="274">
        <f>F83/30/12*G83</f>
        <v>1.1249999999999998E-4</v>
      </c>
      <c r="D83" s="273">
        <f>(D35*C83)+(D35*C83)*C54</f>
        <v>0.30539238839999999</v>
      </c>
      <c r="E83" s="273">
        <f>(E35*C83)+(E35*C83)*C54</f>
        <v>0.3308417541</v>
      </c>
      <c r="F83" s="307">
        <v>5</v>
      </c>
      <c r="G83" s="308">
        <v>8.0999999999999996E-3</v>
      </c>
      <c r="H83" s="242"/>
      <c r="I83" s="242"/>
      <c r="J83" s="242"/>
      <c r="K83" s="242"/>
      <c r="L83" s="242"/>
      <c r="M83" s="242"/>
      <c r="N83" s="242"/>
      <c r="O83" s="242"/>
      <c r="P83" s="242"/>
      <c r="Q83" s="242"/>
      <c r="R83" s="242"/>
    </row>
    <row r="84" spans="1:18" s="238" customFormat="1" ht="12.75" customHeight="1">
      <c r="A84" s="270" t="s">
        <v>36</v>
      </c>
      <c r="B84" s="271" t="s">
        <v>109</v>
      </c>
      <c r="C84" s="274">
        <f>F84/30/12*G84</f>
        <v>5.0833333333333329E-4</v>
      </c>
      <c r="D84" s="273">
        <f>(D35*C84)+(D35*C84)*C54</f>
        <v>1.3799211624000001</v>
      </c>
      <c r="E84" s="273">
        <f>(E35*C84)+(E35*C84)*C54</f>
        <v>1.4949145925999998</v>
      </c>
      <c r="F84" s="307">
        <v>15</v>
      </c>
      <c r="G84" s="308">
        <v>1.2200000000000001E-2</v>
      </c>
      <c r="H84" s="242"/>
      <c r="I84" s="242"/>
      <c r="J84" s="242"/>
      <c r="K84" s="242"/>
      <c r="L84" s="242"/>
      <c r="M84" s="242"/>
      <c r="N84" s="242"/>
      <c r="O84" s="242"/>
      <c r="P84" s="242"/>
      <c r="Q84" s="242"/>
      <c r="R84" s="242"/>
    </row>
    <row r="85" spans="1:18" s="238" customFormat="1" ht="12.75" customHeight="1">
      <c r="A85" s="270" t="s">
        <v>60</v>
      </c>
      <c r="B85" s="271" t="s">
        <v>110</v>
      </c>
      <c r="C85" s="274">
        <f>((F85/12)*((1+1/3)/12))*G85</f>
        <v>2.9999999999999997E-4</v>
      </c>
      <c r="D85" s="273">
        <f>(D35*C85)+(D35*C85)*C54</f>
        <v>0.81437970240000013</v>
      </c>
      <c r="E85" s="273">
        <f>(E35*C85)+(E35*C85)*C54</f>
        <v>0.88224467760000003</v>
      </c>
      <c r="F85" s="307">
        <v>4</v>
      </c>
      <c r="G85" s="308">
        <v>8.0999999999999996E-3</v>
      </c>
      <c r="H85" s="242"/>
      <c r="I85" s="242"/>
      <c r="J85" s="242"/>
      <c r="K85" s="242"/>
      <c r="L85" s="242"/>
      <c r="M85" s="242"/>
      <c r="N85" s="242"/>
      <c r="O85" s="242"/>
      <c r="P85" s="242"/>
      <c r="Q85" s="242"/>
      <c r="R85" s="242"/>
    </row>
    <row r="86" spans="1:18" s="238" customFormat="1" ht="12.75" customHeight="1">
      <c r="A86" s="270" t="s">
        <v>62</v>
      </c>
      <c r="B86" s="271" t="s">
        <v>291</v>
      </c>
      <c r="C86" s="274">
        <v>0</v>
      </c>
      <c r="D86" s="273">
        <f>(D35*C86)+(D35*C86)*C54</f>
        <v>0</v>
      </c>
      <c r="E86" s="273">
        <f>(E35*C86)+(E35*C86)*C54</f>
        <v>0</v>
      </c>
      <c r="F86" s="307"/>
      <c r="G86" s="308"/>
      <c r="H86" s="242"/>
      <c r="I86" s="242"/>
      <c r="J86" s="242"/>
      <c r="K86" s="242"/>
      <c r="L86" s="242"/>
      <c r="M86" s="242"/>
      <c r="N86" s="242"/>
      <c r="O86" s="242"/>
      <c r="P86" s="242"/>
      <c r="Q86" s="242"/>
      <c r="R86" s="242"/>
    </row>
    <row r="87" spans="1:18" s="238" customFormat="1" ht="12.75" customHeight="1">
      <c r="A87" s="309" t="s">
        <v>64</v>
      </c>
      <c r="B87" s="310"/>
      <c r="C87" s="311">
        <f t="shared" ref="C87" si="12">SUM(C81:C85)</f>
        <v>0.11434675925925926</v>
      </c>
      <c r="D87" s="312">
        <f>SUM(D81:D86)</f>
        <v>310.40559925320002</v>
      </c>
      <c r="E87" s="312">
        <f>SUM(E81:E86)</f>
        <v>336.27273252430001</v>
      </c>
      <c r="F87" s="305"/>
      <c r="G87" s="306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</row>
    <row r="88" spans="1:18" s="238" customFormat="1" ht="12.75" customHeight="1">
      <c r="A88" s="303"/>
      <c r="B88" s="271" t="s">
        <v>111</v>
      </c>
      <c r="C88" s="272"/>
      <c r="D88" s="304"/>
      <c r="E88" s="303"/>
      <c r="F88" s="241"/>
      <c r="G88" s="241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</row>
    <row r="89" spans="1:18" s="238" customFormat="1" ht="12.75" customHeight="1">
      <c r="A89" s="269" t="s">
        <v>117</v>
      </c>
      <c r="B89" s="367" t="s">
        <v>112</v>
      </c>
      <c r="C89" s="359"/>
      <c r="D89" s="268" t="s">
        <v>54</v>
      </c>
      <c r="E89" s="269" t="s">
        <v>54</v>
      </c>
      <c r="F89" s="241"/>
      <c r="G89" s="241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2"/>
    </row>
    <row r="90" spans="1:18" s="238" customFormat="1" ht="12.75" customHeight="1">
      <c r="A90" s="270" t="s">
        <v>57</v>
      </c>
      <c r="B90" s="271" t="s">
        <v>113</v>
      </c>
      <c r="C90" s="274">
        <v>0</v>
      </c>
      <c r="D90" s="273">
        <f>D35*C90</f>
        <v>0</v>
      </c>
      <c r="E90" s="273">
        <f>E35*C90</f>
        <v>0</v>
      </c>
      <c r="F90" s="241"/>
      <c r="G90" s="241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</row>
    <row r="91" spans="1:18" s="238" customFormat="1" ht="12.75" customHeight="1">
      <c r="A91" s="261"/>
      <c r="B91" s="262" t="s">
        <v>64</v>
      </c>
      <c r="C91" s="281">
        <f t="shared" ref="C91:E91" si="13">SUM(C90)</f>
        <v>0</v>
      </c>
      <c r="D91" s="278">
        <f t="shared" si="13"/>
        <v>0</v>
      </c>
      <c r="E91" s="278">
        <f t="shared" si="13"/>
        <v>0</v>
      </c>
      <c r="F91" s="241"/>
      <c r="G91" s="241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</row>
    <row r="92" spans="1:18" s="238" customFormat="1" ht="12.75" customHeight="1">
      <c r="A92" s="357" t="s">
        <v>114</v>
      </c>
      <c r="B92" s="358"/>
      <c r="C92" s="358"/>
      <c r="D92" s="358"/>
      <c r="E92" s="359"/>
      <c r="F92" s="241"/>
      <c r="G92" s="313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</row>
    <row r="93" spans="1:18" s="238" customFormat="1" ht="12.75" customHeight="1">
      <c r="A93" s="265">
        <v>4</v>
      </c>
      <c r="B93" s="262" t="s">
        <v>115</v>
      </c>
      <c r="C93" s="267" t="s">
        <v>53</v>
      </c>
      <c r="D93" s="268" t="s">
        <v>54</v>
      </c>
      <c r="E93" s="269" t="s">
        <v>54</v>
      </c>
      <c r="F93" s="241"/>
      <c r="G93" s="241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</row>
    <row r="94" spans="1:18" s="238" customFormat="1" ht="12.75" customHeight="1">
      <c r="A94" s="270" t="s">
        <v>104</v>
      </c>
      <c r="B94" s="271" t="s">
        <v>116</v>
      </c>
      <c r="C94" s="272"/>
      <c r="D94" s="273">
        <f t="shared" ref="D94:E94" si="14">D87</f>
        <v>310.40559925320002</v>
      </c>
      <c r="E94" s="273">
        <f t="shared" si="14"/>
        <v>336.27273252430001</v>
      </c>
      <c r="F94" s="241"/>
      <c r="G94" s="241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</row>
    <row r="95" spans="1:18" s="238" customFormat="1" ht="12.75" customHeight="1">
      <c r="A95" s="270" t="s">
        <v>117</v>
      </c>
      <c r="B95" s="271" t="s">
        <v>112</v>
      </c>
      <c r="C95" s="272"/>
      <c r="D95" s="273">
        <f t="shared" ref="D95:E95" si="15">D91</f>
        <v>0</v>
      </c>
      <c r="E95" s="273">
        <f t="shared" si="15"/>
        <v>0</v>
      </c>
      <c r="F95" s="314"/>
      <c r="G95" s="314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</row>
    <row r="96" spans="1:18" s="238" customFormat="1" ht="12.75" customHeight="1">
      <c r="A96" s="261"/>
      <c r="B96" s="262" t="s">
        <v>64</v>
      </c>
      <c r="C96" s="263"/>
      <c r="D96" s="278">
        <f t="shared" ref="D96:E96" si="16">SUM(D94:D95)</f>
        <v>310.40559925320002</v>
      </c>
      <c r="E96" s="278">
        <f t="shared" si="16"/>
        <v>336.27273252430001</v>
      </c>
      <c r="F96" s="241"/>
      <c r="G96" s="241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</row>
    <row r="97" spans="1:18" s="238" customFormat="1" ht="12.75" customHeight="1">
      <c r="A97" s="246"/>
      <c r="B97" s="239" t="s">
        <v>118</v>
      </c>
      <c r="C97" s="240"/>
      <c r="D97" s="244"/>
      <c r="E97" s="246"/>
      <c r="F97" s="241"/>
      <c r="G97" s="241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</row>
    <row r="98" spans="1:18" s="238" customFormat="1" ht="12.75" customHeight="1">
      <c r="A98" s="265">
        <v>5</v>
      </c>
      <c r="B98" s="262" t="s">
        <v>119</v>
      </c>
      <c r="C98" s="267" t="s">
        <v>53</v>
      </c>
      <c r="D98" s="268" t="s">
        <v>54</v>
      </c>
      <c r="E98" s="269" t="s">
        <v>54</v>
      </c>
      <c r="F98" s="241"/>
      <c r="G98" s="241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</row>
    <row r="99" spans="1:18" s="238" customFormat="1" ht="12.75" customHeight="1">
      <c r="A99" s="270" t="s">
        <v>30</v>
      </c>
      <c r="B99" s="271" t="s">
        <v>120</v>
      </c>
      <c r="C99" s="274"/>
      <c r="D99" s="273">
        <f>UNI.EPI!G14</f>
        <v>113.22916666666667</v>
      </c>
      <c r="E99" s="273">
        <f t="shared" ref="E99:E103" si="17">D99</f>
        <v>113.22916666666667</v>
      </c>
      <c r="F99" s="241"/>
      <c r="G99" s="241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</row>
    <row r="100" spans="1:18" s="238" customFormat="1" ht="12.75" customHeight="1">
      <c r="A100" s="270" t="s">
        <v>32</v>
      </c>
      <c r="B100" s="271" t="s">
        <v>121</v>
      </c>
      <c r="C100" s="274"/>
      <c r="D100" s="273">
        <f>MAT!G40</f>
        <v>1311.9683333333335</v>
      </c>
      <c r="E100" s="273">
        <f t="shared" si="17"/>
        <v>1311.9683333333335</v>
      </c>
      <c r="F100" s="241"/>
      <c r="G100" s="241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</row>
    <row r="101" spans="1:18" s="238" customFormat="1" ht="12.75" customHeight="1">
      <c r="A101" s="270" t="s">
        <v>57</v>
      </c>
      <c r="B101" s="271" t="s">
        <v>122</v>
      </c>
      <c r="C101" s="274"/>
      <c r="D101" s="273">
        <f>EQU!H27</f>
        <v>110.69</v>
      </c>
      <c r="E101" s="273">
        <f t="shared" si="17"/>
        <v>110.69</v>
      </c>
      <c r="F101" s="241"/>
      <c r="G101" s="241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</row>
    <row r="102" spans="1:18" s="238" customFormat="1" ht="12.75" customHeight="1">
      <c r="A102" s="270" t="s">
        <v>36</v>
      </c>
      <c r="B102" s="271" t="s">
        <v>123</v>
      </c>
      <c r="C102" s="274"/>
      <c r="D102" s="273">
        <f>UTE!G26</f>
        <v>265.57166666666666</v>
      </c>
      <c r="E102" s="273">
        <f t="shared" si="17"/>
        <v>265.57166666666666</v>
      </c>
      <c r="F102" s="241"/>
      <c r="G102" s="241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</row>
    <row r="103" spans="1:18" s="238" customFormat="1" ht="12.75" customHeight="1">
      <c r="A103" s="270" t="s">
        <v>60</v>
      </c>
      <c r="B103" s="271" t="s">
        <v>124</v>
      </c>
      <c r="C103" s="274"/>
      <c r="D103" s="273">
        <f>UNI.EPI!G32</f>
        <v>156.8425</v>
      </c>
      <c r="E103" s="273">
        <f t="shared" si="17"/>
        <v>156.8425</v>
      </c>
      <c r="F103" s="241"/>
      <c r="G103" s="241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</row>
    <row r="104" spans="1:18" s="238" customFormat="1" ht="12.75" customHeight="1">
      <c r="A104" s="261"/>
      <c r="B104" s="262" t="s">
        <v>125</v>
      </c>
      <c r="C104" s="263"/>
      <c r="D104" s="278">
        <f t="shared" ref="D104:E104" si="18">SUM(D99:D103)</f>
        <v>1958.301666666667</v>
      </c>
      <c r="E104" s="278">
        <f t="shared" si="18"/>
        <v>1958.301666666667</v>
      </c>
      <c r="F104" s="241"/>
      <c r="G104" s="241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</row>
    <row r="105" spans="1:18" s="238" customFormat="1" ht="12.75" customHeight="1">
      <c r="A105" s="246"/>
      <c r="B105" s="239" t="s">
        <v>126</v>
      </c>
      <c r="C105" s="240"/>
      <c r="D105" s="244"/>
      <c r="E105" s="246"/>
      <c r="F105" s="241"/>
      <c r="G105" s="241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</row>
    <row r="106" spans="1:18" s="238" customFormat="1" ht="12.75" customHeight="1">
      <c r="A106" s="265">
        <v>6</v>
      </c>
      <c r="B106" s="262" t="s">
        <v>127</v>
      </c>
      <c r="C106" s="267" t="s">
        <v>53</v>
      </c>
      <c r="D106" s="268" t="s">
        <v>54</v>
      </c>
      <c r="E106" s="269" t="s">
        <v>54</v>
      </c>
      <c r="F106" s="241"/>
      <c r="G106" s="241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</row>
    <row r="107" spans="1:18" s="238" customFormat="1" ht="12.75" customHeight="1">
      <c r="A107" s="270" t="s">
        <v>30</v>
      </c>
      <c r="B107" s="271" t="s">
        <v>128</v>
      </c>
      <c r="C107" s="315">
        <v>0.05</v>
      </c>
      <c r="D107" s="273">
        <f>D122*C107</f>
        <v>315.40923363599342</v>
      </c>
      <c r="E107" s="273">
        <f>E122*C107</f>
        <v>330.41641949454839</v>
      </c>
      <c r="F107" s="241"/>
      <c r="G107" s="241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</row>
    <row r="108" spans="1:18" s="238" customFormat="1" ht="12.75" customHeight="1">
      <c r="A108" s="270" t="s">
        <v>32</v>
      </c>
      <c r="B108" s="271" t="s">
        <v>129</v>
      </c>
      <c r="C108" s="315">
        <v>0.05</v>
      </c>
      <c r="D108" s="273">
        <f>(D122+D107)*C108</f>
        <v>331.17969531779312</v>
      </c>
      <c r="E108" s="273">
        <f>(E122+E107)*C108</f>
        <v>346.93724046927582</v>
      </c>
      <c r="F108" s="241"/>
      <c r="G108" s="241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</row>
    <row r="109" spans="1:18" s="238" customFormat="1" ht="12.75" customHeight="1">
      <c r="A109" s="270" t="s">
        <v>57</v>
      </c>
      <c r="B109" s="271" t="s">
        <v>130</v>
      </c>
      <c r="C109" s="274">
        <v>6.6500000000000004E-2</v>
      </c>
      <c r="D109" s="273">
        <f t="shared" ref="D109:E109" si="19">SUM(D110:D112)</f>
        <v>495.43896499999994</v>
      </c>
      <c r="E109" s="273">
        <f t="shared" si="19"/>
        <v>519.01188499999989</v>
      </c>
      <c r="F109" s="241"/>
      <c r="G109" s="241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</row>
    <row r="110" spans="1:18" s="238" customFormat="1" ht="12.75" customHeight="1">
      <c r="A110" s="270" t="s">
        <v>131</v>
      </c>
      <c r="B110" s="271" t="s">
        <v>132</v>
      </c>
      <c r="C110" s="274">
        <v>3.6499999999999998E-2</v>
      </c>
      <c r="D110" s="273">
        <f>D124*C110</f>
        <v>271.93266499999999</v>
      </c>
      <c r="E110" s="273">
        <f>E124*C110</f>
        <v>284.87118499999997</v>
      </c>
      <c r="F110" s="241"/>
      <c r="G110" s="241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</row>
    <row r="111" spans="1:18" s="238" customFormat="1" ht="12.75" customHeight="1">
      <c r="A111" s="270" t="s">
        <v>133</v>
      </c>
      <c r="B111" s="271" t="s">
        <v>134</v>
      </c>
      <c r="C111" s="274">
        <v>0</v>
      </c>
      <c r="D111" s="273">
        <f>D124*C111</f>
        <v>0</v>
      </c>
      <c r="E111" s="273">
        <f>E124*C111</f>
        <v>0</v>
      </c>
      <c r="F111" s="241"/>
      <c r="G111" s="241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</row>
    <row r="112" spans="1:18" s="238" customFormat="1" ht="12.75" customHeight="1">
      <c r="A112" s="270" t="s">
        <v>135</v>
      </c>
      <c r="B112" s="271" t="s">
        <v>136</v>
      </c>
      <c r="C112" s="274">
        <v>0.03</v>
      </c>
      <c r="D112" s="273">
        <f>D124*C112</f>
        <v>223.50629999999998</v>
      </c>
      <c r="E112" s="273">
        <f>E124*C112</f>
        <v>234.14069999999998</v>
      </c>
      <c r="F112" s="241"/>
      <c r="G112" s="241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</row>
    <row r="113" spans="1:18" s="238" customFormat="1" ht="12.75" customHeight="1">
      <c r="A113" s="316"/>
      <c r="B113" s="262" t="s">
        <v>64</v>
      </c>
      <c r="C113" s="263"/>
      <c r="D113" s="278">
        <f t="shared" ref="D113:E113" si="20">SUM(D107:D109)</f>
        <v>1142.0278939537866</v>
      </c>
      <c r="E113" s="278">
        <f t="shared" si="20"/>
        <v>1196.365544963824</v>
      </c>
      <c r="F113" s="241"/>
      <c r="G113" s="241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</row>
    <row r="114" spans="1:18" s="238" customFormat="1" ht="12.75" customHeight="1">
      <c r="A114" s="241"/>
      <c r="B114" s="241"/>
      <c r="C114" s="240"/>
      <c r="D114" s="241"/>
      <c r="E114" s="241"/>
      <c r="F114" s="241"/>
      <c r="G114" s="241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</row>
    <row r="115" spans="1:18" s="238" customFormat="1" ht="12.75" customHeight="1">
      <c r="A115" s="317" t="s">
        <v>137</v>
      </c>
      <c r="B115" s="317"/>
      <c r="C115" s="318"/>
      <c r="D115" s="317"/>
      <c r="E115" s="319"/>
      <c r="F115" s="241"/>
      <c r="G115" s="241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</row>
    <row r="116" spans="1:18" s="238" customFormat="1" ht="12.75" customHeight="1">
      <c r="A116" s="316"/>
      <c r="B116" s="262" t="s">
        <v>138</v>
      </c>
      <c r="C116" s="267"/>
      <c r="D116" s="268" t="s">
        <v>54</v>
      </c>
      <c r="E116" s="269" t="s">
        <v>54</v>
      </c>
      <c r="F116" s="241"/>
      <c r="G116" s="241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</row>
    <row r="117" spans="1:18" s="238" customFormat="1" ht="12.75" customHeight="1">
      <c r="A117" s="270" t="s">
        <v>30</v>
      </c>
      <c r="B117" s="271" t="s">
        <v>51</v>
      </c>
      <c r="C117" s="272"/>
      <c r="D117" s="273">
        <f>D35</f>
        <v>1984.3560000000002</v>
      </c>
      <c r="E117" s="273">
        <f>E35</f>
        <v>2149.7190000000001</v>
      </c>
      <c r="F117" s="241"/>
      <c r="G117" s="241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</row>
    <row r="118" spans="1:18" s="238" customFormat="1" ht="12.75" customHeight="1">
      <c r="A118" s="270" t="s">
        <v>32</v>
      </c>
      <c r="B118" s="271" t="s">
        <v>65</v>
      </c>
      <c r="C118" s="272"/>
      <c r="D118" s="273">
        <f t="shared" ref="D118:E118" si="21">D68</f>
        <v>1918.9284400000001</v>
      </c>
      <c r="E118" s="273">
        <f t="shared" si="21"/>
        <v>2016.4926100000002</v>
      </c>
      <c r="F118" s="241"/>
      <c r="G118" s="241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</row>
    <row r="119" spans="1:18" s="238" customFormat="1" ht="12.75" customHeight="1">
      <c r="A119" s="270" t="s">
        <v>57</v>
      </c>
      <c r="B119" s="271" t="s">
        <v>94</v>
      </c>
      <c r="C119" s="272"/>
      <c r="D119" s="273">
        <f t="shared" ref="D119:E119" si="22">D77</f>
        <v>136.19296680000002</v>
      </c>
      <c r="E119" s="273">
        <f t="shared" si="22"/>
        <v>147.54238070000002</v>
      </c>
      <c r="F119" s="241"/>
      <c r="G119" s="241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</row>
    <row r="120" spans="1:18" s="238" customFormat="1" ht="12.75" customHeight="1">
      <c r="A120" s="270" t="s">
        <v>36</v>
      </c>
      <c r="B120" s="271" t="s">
        <v>102</v>
      </c>
      <c r="C120" s="272"/>
      <c r="D120" s="273">
        <f t="shared" ref="D120:E120" si="23">D96</f>
        <v>310.40559925320002</v>
      </c>
      <c r="E120" s="273">
        <f t="shared" si="23"/>
        <v>336.27273252430001</v>
      </c>
      <c r="F120" s="241"/>
      <c r="G120" s="241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</row>
    <row r="121" spans="1:18" s="238" customFormat="1" ht="12.75" customHeight="1">
      <c r="A121" s="270" t="s">
        <v>60</v>
      </c>
      <c r="B121" s="271" t="s">
        <v>118</v>
      </c>
      <c r="C121" s="272"/>
      <c r="D121" s="273">
        <f t="shared" ref="D121:E121" si="24">D104</f>
        <v>1958.301666666667</v>
      </c>
      <c r="E121" s="273">
        <f t="shared" si="24"/>
        <v>1958.301666666667</v>
      </c>
      <c r="F121" s="241"/>
      <c r="G121" s="241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</row>
    <row r="122" spans="1:18" s="238" customFormat="1" ht="12.75" customHeight="1">
      <c r="A122" s="262" t="s">
        <v>139</v>
      </c>
      <c r="B122" s="262"/>
      <c r="C122" s="267"/>
      <c r="D122" s="278">
        <f t="shared" ref="D122:E122" si="25">SUM(D117:D121)</f>
        <v>6308.1846727198681</v>
      </c>
      <c r="E122" s="278">
        <f t="shared" si="25"/>
        <v>6608.3283898909676</v>
      </c>
      <c r="F122" s="241"/>
      <c r="G122" s="241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</row>
    <row r="123" spans="1:18" s="238" customFormat="1" ht="12.75" customHeight="1">
      <c r="A123" s="270" t="s">
        <v>62</v>
      </c>
      <c r="B123" s="271" t="s">
        <v>126</v>
      </c>
      <c r="C123" s="272"/>
      <c r="D123" s="273">
        <f t="shared" ref="D123:E123" si="26">D113</f>
        <v>1142.0278939537866</v>
      </c>
      <c r="E123" s="273">
        <f t="shared" si="26"/>
        <v>1196.365544963824</v>
      </c>
      <c r="F123" s="241"/>
      <c r="G123" s="241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</row>
    <row r="124" spans="1:18" s="238" customFormat="1" ht="12.75" customHeight="1">
      <c r="A124" s="262" t="s">
        <v>140</v>
      </c>
      <c r="B124" s="262"/>
      <c r="C124" s="267"/>
      <c r="D124" s="278">
        <f>ROUND((D122+D107+D108)/(1-(C109)),2)</f>
        <v>7450.21</v>
      </c>
      <c r="E124" s="278">
        <f>ROUND((E122+E107+E108)/(1-(C109)),2)</f>
        <v>7804.69</v>
      </c>
      <c r="F124" s="241"/>
      <c r="G124" s="241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</row>
    <row r="125" spans="1:18" s="238" customFormat="1" ht="12.75" customHeight="1">
      <c r="A125" s="320"/>
      <c r="B125" s="320"/>
      <c r="C125" s="252"/>
      <c r="D125" s="237"/>
      <c r="E125" s="321"/>
      <c r="F125" s="241"/>
      <c r="G125" s="241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</row>
    <row r="126" spans="1:18" s="238" customFormat="1" ht="12.75" customHeight="1">
      <c r="A126" s="292" t="s">
        <v>141</v>
      </c>
      <c r="B126" s="292"/>
      <c r="C126" s="322"/>
      <c r="D126" s="292"/>
      <c r="E126" s="323"/>
      <c r="F126" s="241"/>
      <c r="G126" s="241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</row>
    <row r="127" spans="1:18" s="238" customFormat="1" ht="12.75" customHeight="1">
      <c r="A127" s="324">
        <v>1</v>
      </c>
      <c r="B127" s="325" t="s">
        <v>45</v>
      </c>
      <c r="C127" s="293"/>
      <c r="D127" s="326" t="str">
        <f t="shared" ref="D127:E127" si="27">D$16</f>
        <v>Servente de Limpeza</v>
      </c>
      <c r="E127" s="326" t="str">
        <f t="shared" si="27"/>
        <v>Servente de Limpeza</v>
      </c>
      <c r="F127" s="241"/>
      <c r="G127" s="241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</row>
    <row r="128" spans="1:18" s="238" customFormat="1" ht="12.75" customHeight="1">
      <c r="A128" s="327"/>
      <c r="B128" s="259" t="s">
        <v>142</v>
      </c>
      <c r="C128" s="289"/>
      <c r="D128" s="327">
        <v>1</v>
      </c>
      <c r="E128" s="327">
        <v>1</v>
      </c>
      <c r="F128" s="241"/>
      <c r="G128" s="241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</row>
    <row r="129" spans="1:18" s="238" customFormat="1" ht="12.75" customHeight="1">
      <c r="A129" s="327"/>
      <c r="B129" s="259" t="s">
        <v>143</v>
      </c>
      <c r="C129" s="289"/>
      <c r="D129" s="328">
        <f>'Cálculo custoM²'!I72</f>
        <v>3</v>
      </c>
      <c r="E129" s="327">
        <v>0</v>
      </c>
      <c r="F129" s="241"/>
      <c r="G129" s="241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</row>
    <row r="130" spans="1:18" s="238" customFormat="1" ht="12.75" customHeight="1">
      <c r="A130" s="327"/>
      <c r="B130" s="259" t="s">
        <v>144</v>
      </c>
      <c r="C130" s="289"/>
      <c r="D130" s="329">
        <f t="shared" ref="D130:E130" si="28">D124</f>
        <v>7450.21</v>
      </c>
      <c r="E130" s="329">
        <f t="shared" si="28"/>
        <v>7804.69</v>
      </c>
      <c r="F130" s="241"/>
      <c r="G130" s="330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</row>
    <row r="131" spans="1:18" s="238" customFormat="1" ht="12.75" customHeight="1">
      <c r="A131" s="327"/>
      <c r="B131" s="259" t="s">
        <v>145</v>
      </c>
      <c r="C131" s="289"/>
      <c r="D131" s="329">
        <f>'Cálculo custoM²'!H70</f>
        <v>22737.609549343677</v>
      </c>
      <c r="E131" s="329">
        <f>ROUND(E130*E129,2)</f>
        <v>0</v>
      </c>
      <c r="F131" s="241"/>
      <c r="G131" s="241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</row>
    <row r="132" spans="1:18" s="238" customFormat="1" ht="12.75" customHeight="1">
      <c r="A132" s="331"/>
      <c r="B132" s="331" t="s">
        <v>146</v>
      </c>
      <c r="C132" s="332"/>
      <c r="D132" s="333">
        <f>D131*12</f>
        <v>272851.31459212414</v>
      </c>
      <c r="E132" s="334"/>
      <c r="F132" s="241"/>
      <c r="G132" s="241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</row>
    <row r="133" spans="1:18" s="238" customFormat="1" ht="12.75" customHeight="1">
      <c r="A133" s="241"/>
      <c r="B133" s="241"/>
      <c r="C133" s="240"/>
      <c r="D133" s="241"/>
      <c r="E133" s="241"/>
      <c r="F133" s="241"/>
      <c r="G133" s="241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</row>
    <row r="134" spans="1:18" ht="12.75" customHeight="1">
      <c r="A134" s="62"/>
      <c r="B134" s="62"/>
      <c r="C134" s="65"/>
      <c r="D134" s="62"/>
      <c r="E134" s="62"/>
      <c r="F134" s="62"/>
      <c r="G134" s="62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</row>
    <row r="135" spans="1:18" ht="12.75" customHeight="1">
      <c r="A135" s="62"/>
      <c r="B135" s="62"/>
      <c r="C135" s="65"/>
      <c r="D135" s="62"/>
      <c r="E135" s="62"/>
      <c r="F135" s="62"/>
      <c r="G135" s="62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</row>
    <row r="136" spans="1:18" ht="15" customHeight="1">
      <c r="A136" s="63"/>
      <c r="B136" s="63"/>
      <c r="C136" s="65"/>
      <c r="D136" s="63"/>
      <c r="E136" s="63"/>
      <c r="F136" s="63"/>
      <c r="G136" s="63"/>
    </row>
  </sheetData>
  <mergeCells count="18">
    <mergeCell ref="A43:C43"/>
    <mergeCell ref="A55:E55"/>
    <mergeCell ref="A69:E69"/>
    <mergeCell ref="B89:C89"/>
    <mergeCell ref="A92:E92"/>
    <mergeCell ref="A37:E37"/>
    <mergeCell ref="A42:E42"/>
    <mergeCell ref="A1:E4"/>
    <mergeCell ref="A16:C16"/>
    <mergeCell ref="A17:C17"/>
    <mergeCell ref="A18:C18"/>
    <mergeCell ref="A19:C19"/>
    <mergeCell ref="B21:C21"/>
    <mergeCell ref="B22:C22"/>
    <mergeCell ref="B23:C23"/>
    <mergeCell ref="B24:C24"/>
    <mergeCell ref="B25:C25"/>
    <mergeCell ref="A36:E36"/>
  </mergeCells>
  <printOptions horizontalCentered="1"/>
  <pageMargins left="0.70866141732283472" right="0.70866141732283472" top="0.78740157480314965" bottom="0.78740157480314965" header="0" footer="0"/>
  <pageSetup paperSize="9" scale="64" fitToHeight="0" orientation="portrait" r:id="rId1"/>
  <headerFooter>
    <oddHeader>&amp;R &amp;F &amp;A</oddHeader>
    <oddFooter>&amp;C&amp;P/&amp;RGestão Formal de Contratos (visto)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  <pageSetUpPr fitToPage="1"/>
  </sheetPr>
  <dimension ref="A3:Z89"/>
  <sheetViews>
    <sheetView workbookViewId="0">
      <selection activeCell="M11" sqref="M11"/>
    </sheetView>
  </sheetViews>
  <sheetFormatPr defaultColWidth="14.44140625" defaultRowHeight="15" customHeight="1"/>
  <cols>
    <col min="1" max="1" width="4.109375" customWidth="1"/>
    <col min="2" max="2" width="10.77734375" customWidth="1"/>
    <col min="3" max="3" width="32.6640625" customWidth="1"/>
    <col min="4" max="4" width="10.33203125" customWidth="1"/>
    <col min="5" max="5" width="10.6640625" customWidth="1"/>
    <col min="6" max="6" width="13.88671875" customWidth="1"/>
    <col min="7" max="7" width="14.33203125" customWidth="1"/>
    <col min="9" max="9" width="14.33203125" customWidth="1"/>
    <col min="10" max="10" width="8.88671875" customWidth="1"/>
    <col min="11" max="11" width="8.88671875" hidden="1" customWidth="1"/>
    <col min="12" max="26" width="8.88671875" customWidth="1"/>
  </cols>
  <sheetData>
    <row r="3" spans="1:26" ht="13.5" customHeight="1">
      <c r="A3" s="25"/>
      <c r="B3" s="85" t="s">
        <v>298</v>
      </c>
      <c r="C3" s="25"/>
      <c r="D3" s="25"/>
      <c r="E3" s="25"/>
      <c r="F3" s="27"/>
      <c r="G3" s="25"/>
      <c r="H3" s="25"/>
      <c r="I3" s="28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3.5" customHeight="1">
      <c r="A4" s="25"/>
      <c r="B4" s="29"/>
      <c r="C4" s="25"/>
      <c r="D4" s="25"/>
      <c r="E4" s="25"/>
      <c r="F4" s="25"/>
      <c r="G4" s="25"/>
      <c r="H4" s="25"/>
      <c r="I4" s="28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13.5" customHeight="1">
      <c r="A5" s="25"/>
      <c r="B5" s="67" t="s">
        <v>147</v>
      </c>
      <c r="C5" s="67" t="s">
        <v>148</v>
      </c>
      <c r="D5" s="373" t="s">
        <v>149</v>
      </c>
      <c r="E5" s="374"/>
      <c r="F5" s="68"/>
      <c r="G5" s="68"/>
      <c r="H5" s="68" t="s">
        <v>150</v>
      </c>
      <c r="I5" s="69" t="s">
        <v>151</v>
      </c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13.5" customHeight="1">
      <c r="A6" s="25"/>
      <c r="B6" s="30" t="s">
        <v>152</v>
      </c>
      <c r="C6" s="31" t="s">
        <v>153</v>
      </c>
      <c r="D6" s="105">
        <v>1200</v>
      </c>
      <c r="E6" s="86">
        <f>1/D6</f>
        <v>8.3333333333333339E-4</v>
      </c>
      <c r="F6" s="32"/>
      <c r="G6" s="32"/>
      <c r="H6" s="94">
        <f>'Custos por posto'!D124</f>
        <v>7450.21</v>
      </c>
      <c r="I6" s="94">
        <f>H6*E6</f>
        <v>6.2085083333333335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13.5" customHeight="1">
      <c r="A7" s="25"/>
      <c r="B7" s="33"/>
      <c r="C7" s="34"/>
      <c r="D7" s="106"/>
      <c r="E7" s="88"/>
      <c r="F7" s="35"/>
      <c r="G7" s="35"/>
      <c r="H7" s="95"/>
      <c r="I7" s="96">
        <f>SUM(I6)</f>
        <v>6.2085083333333335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13.5" customHeight="1">
      <c r="A8" s="25"/>
      <c r="B8" s="37" t="s">
        <v>152</v>
      </c>
      <c r="C8" s="31" t="s">
        <v>154</v>
      </c>
      <c r="D8" s="105">
        <v>1200</v>
      </c>
      <c r="E8" s="89">
        <f>1/D8</f>
        <v>8.3333333333333339E-4</v>
      </c>
      <c r="F8" s="32"/>
      <c r="G8" s="32"/>
      <c r="H8" s="97">
        <f>H6</f>
        <v>7450.21</v>
      </c>
      <c r="I8" s="97">
        <f>H8*E8</f>
        <v>6.2085083333333335</v>
      </c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13.5" customHeight="1">
      <c r="A9" s="25"/>
      <c r="B9" s="33"/>
      <c r="C9" s="34"/>
      <c r="D9" s="106"/>
      <c r="E9" s="88"/>
      <c r="F9" s="35"/>
      <c r="G9" s="35"/>
      <c r="H9" s="95"/>
      <c r="I9" s="96">
        <f>SUM(I8)</f>
        <v>6.2085083333333335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13.5" customHeight="1">
      <c r="A10" s="25"/>
      <c r="B10" s="38" t="s">
        <v>152</v>
      </c>
      <c r="C10" s="39" t="s">
        <v>155</v>
      </c>
      <c r="D10" s="105">
        <v>450</v>
      </c>
      <c r="E10" s="89">
        <f>1/D10</f>
        <v>2.2222222222222222E-3</v>
      </c>
      <c r="F10" s="32"/>
      <c r="G10" s="32"/>
      <c r="H10" s="97">
        <f>H6</f>
        <v>7450.21</v>
      </c>
      <c r="I10" s="97">
        <f>H10*E10</f>
        <v>16.556022222222222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3.5" customHeight="1">
      <c r="A11" s="25"/>
      <c r="B11" s="33"/>
      <c r="C11" s="34"/>
      <c r="D11" s="106"/>
      <c r="E11" s="88"/>
      <c r="F11" s="35"/>
      <c r="G11" s="35"/>
      <c r="H11" s="95"/>
      <c r="I11" s="96">
        <f>SUM(I10)</f>
        <v>16.556022222222222</v>
      </c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13.5" customHeight="1">
      <c r="A12" s="25"/>
      <c r="B12" s="38" t="s">
        <v>152</v>
      </c>
      <c r="C12" s="39" t="s">
        <v>156</v>
      </c>
      <c r="D12" s="105">
        <v>2500</v>
      </c>
      <c r="E12" s="89">
        <f>1/D12</f>
        <v>4.0000000000000002E-4</v>
      </c>
      <c r="F12" s="32"/>
      <c r="G12" s="32"/>
      <c r="H12" s="97">
        <f>H6</f>
        <v>7450.21</v>
      </c>
      <c r="I12" s="97">
        <f>H12*E12</f>
        <v>2.9800840000000002</v>
      </c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13.5" customHeight="1">
      <c r="A13" s="25"/>
      <c r="B13" s="33"/>
      <c r="C13" s="34"/>
      <c r="D13" s="106"/>
      <c r="E13" s="88"/>
      <c r="F13" s="35"/>
      <c r="G13" s="35"/>
      <c r="H13" s="95"/>
      <c r="I13" s="96">
        <f>SUM(I12)</f>
        <v>2.9800840000000002</v>
      </c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3.5" customHeight="1">
      <c r="A14" s="25"/>
      <c r="B14" s="38" t="s">
        <v>152</v>
      </c>
      <c r="C14" s="39" t="s">
        <v>157</v>
      </c>
      <c r="D14" s="105">
        <v>1800</v>
      </c>
      <c r="E14" s="89">
        <f>1/D14</f>
        <v>5.5555555555555556E-4</v>
      </c>
      <c r="F14" s="32"/>
      <c r="G14" s="32"/>
      <c r="H14" s="97">
        <f>H6</f>
        <v>7450.21</v>
      </c>
      <c r="I14" s="97">
        <f>H14*E14</f>
        <v>4.1390055555555554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13.5" customHeight="1">
      <c r="A15" s="25"/>
      <c r="B15" s="33"/>
      <c r="C15" s="34"/>
      <c r="D15" s="106"/>
      <c r="E15" s="88"/>
      <c r="F15" s="35"/>
      <c r="G15" s="35"/>
      <c r="H15" s="95"/>
      <c r="I15" s="96">
        <f>SUM(I14)</f>
        <v>4.1390055555555554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13.5" customHeight="1">
      <c r="A16" s="40"/>
      <c r="B16" s="41" t="s">
        <v>152</v>
      </c>
      <c r="C16" s="39" t="s">
        <v>158</v>
      </c>
      <c r="D16" s="105">
        <v>1500</v>
      </c>
      <c r="E16" s="90">
        <f>1/D16</f>
        <v>6.6666666666666664E-4</v>
      </c>
      <c r="F16" s="32"/>
      <c r="G16" s="32"/>
      <c r="H16" s="97">
        <f>H6</f>
        <v>7450.21</v>
      </c>
      <c r="I16" s="97">
        <f>H16*E16</f>
        <v>4.9668066666666668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13.5" customHeight="1">
      <c r="A17" s="25"/>
      <c r="B17" s="33"/>
      <c r="C17" s="34"/>
      <c r="D17" s="106"/>
      <c r="E17" s="88"/>
      <c r="F17" s="35"/>
      <c r="G17" s="35"/>
      <c r="H17" s="95"/>
      <c r="I17" s="96">
        <f>SUM(I16)</f>
        <v>4.9668066666666668</v>
      </c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13.5" customHeight="1">
      <c r="A18" s="25"/>
      <c r="B18" s="38" t="s">
        <v>152</v>
      </c>
      <c r="C18" s="39" t="s">
        <v>159</v>
      </c>
      <c r="D18" s="105">
        <v>300</v>
      </c>
      <c r="E18" s="90">
        <f>1/D18</f>
        <v>3.3333333333333335E-3</v>
      </c>
      <c r="F18" s="32"/>
      <c r="G18" s="32"/>
      <c r="H18" s="97">
        <f>H6</f>
        <v>7450.21</v>
      </c>
      <c r="I18" s="97">
        <f>H18*E18</f>
        <v>24.834033333333334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13.5" customHeight="1">
      <c r="A19" s="25"/>
      <c r="B19" s="33"/>
      <c r="C19" s="34"/>
      <c r="D19" s="106"/>
      <c r="E19" s="88"/>
      <c r="F19" s="35"/>
      <c r="G19" s="35"/>
      <c r="H19" s="95"/>
      <c r="I19" s="96">
        <f>SUM(I18)</f>
        <v>24.834033333333334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13.5" customHeight="1">
      <c r="A20" s="40"/>
      <c r="B20" s="41" t="s">
        <v>152</v>
      </c>
      <c r="C20" s="39" t="s">
        <v>160</v>
      </c>
      <c r="D20" s="105">
        <v>2700</v>
      </c>
      <c r="E20" s="90">
        <f>1/D20</f>
        <v>3.7037037037037035E-4</v>
      </c>
      <c r="F20" s="32"/>
      <c r="G20" s="32"/>
      <c r="H20" s="97">
        <f>H6</f>
        <v>7450.21</v>
      </c>
      <c r="I20" s="97">
        <f>H20*E20</f>
        <v>2.7593370370370369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spans="1:26" ht="13.5" customHeight="1">
      <c r="A21" s="25"/>
      <c r="B21" s="33"/>
      <c r="C21" s="34"/>
      <c r="D21" s="106"/>
      <c r="E21" s="88"/>
      <c r="F21" s="35"/>
      <c r="G21" s="35"/>
      <c r="H21" s="95"/>
      <c r="I21" s="96">
        <f>SUM(I20)</f>
        <v>2.7593370370370369</v>
      </c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3.5" customHeight="1">
      <c r="A22" s="25"/>
      <c r="B22" s="38" t="s">
        <v>152</v>
      </c>
      <c r="C22" s="39" t="s">
        <v>161</v>
      </c>
      <c r="D22" s="105">
        <v>9000</v>
      </c>
      <c r="E22" s="90">
        <f>1/D22</f>
        <v>1.1111111111111112E-4</v>
      </c>
      <c r="F22" s="32"/>
      <c r="G22" s="32"/>
      <c r="H22" s="97">
        <f>H6</f>
        <v>7450.21</v>
      </c>
      <c r="I22" s="97">
        <f>H22*E22</f>
        <v>0.82780111111111121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3.5" customHeight="1">
      <c r="A23" s="25"/>
      <c r="B23" s="33"/>
      <c r="C23" s="34"/>
      <c r="D23" s="106"/>
      <c r="E23" s="88"/>
      <c r="F23" s="35"/>
      <c r="G23" s="35"/>
      <c r="H23" s="95"/>
      <c r="I23" s="96">
        <f>SUM(I22)</f>
        <v>0.82780111111111121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3.5" customHeight="1">
      <c r="A24" s="25"/>
      <c r="B24" s="38" t="s">
        <v>152</v>
      </c>
      <c r="C24" s="42" t="s">
        <v>162</v>
      </c>
      <c r="D24" s="105">
        <v>2700</v>
      </c>
      <c r="E24" s="90">
        <f>1/D24</f>
        <v>3.7037037037037035E-4</v>
      </c>
      <c r="F24" s="32"/>
      <c r="G24" s="32"/>
      <c r="H24" s="97">
        <f>H6</f>
        <v>7450.21</v>
      </c>
      <c r="I24" s="97">
        <f>H24*E24</f>
        <v>2.7593370370370369</v>
      </c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13.5" customHeight="1">
      <c r="A25" s="25"/>
      <c r="B25" s="33"/>
      <c r="C25" s="34"/>
      <c r="D25" s="106"/>
      <c r="E25" s="88"/>
      <c r="F25" s="35"/>
      <c r="G25" s="35"/>
      <c r="H25" s="95"/>
      <c r="I25" s="96">
        <f>SUM(I24)</f>
        <v>2.7593370370370369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3.5" customHeight="1">
      <c r="A26" s="25"/>
      <c r="B26" s="38" t="s">
        <v>152</v>
      </c>
      <c r="C26" s="31" t="s">
        <v>163</v>
      </c>
      <c r="D26" s="105">
        <v>2700</v>
      </c>
      <c r="E26" s="90">
        <f>1/D26</f>
        <v>3.7037037037037035E-4</v>
      </c>
      <c r="F26" s="32"/>
      <c r="G26" s="32"/>
      <c r="H26" s="97">
        <f>H6</f>
        <v>7450.21</v>
      </c>
      <c r="I26" s="97">
        <f>H26*E26</f>
        <v>2.7593370370370369</v>
      </c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13.5" customHeight="1">
      <c r="A27" s="25"/>
      <c r="B27" s="33"/>
      <c r="C27" s="34"/>
      <c r="D27" s="106"/>
      <c r="E27" s="88"/>
      <c r="F27" s="35"/>
      <c r="G27" s="35"/>
      <c r="H27" s="95"/>
      <c r="I27" s="96">
        <f>SUM(I26)</f>
        <v>2.7593370370370369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3.5" customHeight="1">
      <c r="A28" s="25"/>
      <c r="B28" s="38" t="s">
        <v>152</v>
      </c>
      <c r="C28" s="39" t="s">
        <v>164</v>
      </c>
      <c r="D28" s="105">
        <v>2700</v>
      </c>
      <c r="E28" s="90">
        <f>1/D28</f>
        <v>3.7037037037037035E-4</v>
      </c>
      <c r="F28" s="32"/>
      <c r="G28" s="32"/>
      <c r="H28" s="97">
        <f>H6</f>
        <v>7450.21</v>
      </c>
      <c r="I28" s="97">
        <f>H28*E28</f>
        <v>2.7593370370370369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3.5" customHeight="1">
      <c r="A29" s="25"/>
      <c r="B29" s="33"/>
      <c r="C29" s="34"/>
      <c r="D29" s="106"/>
      <c r="E29" s="88"/>
      <c r="F29" s="35"/>
      <c r="G29" s="35"/>
      <c r="H29" s="95"/>
      <c r="I29" s="96">
        <f>SUM(I28)</f>
        <v>2.7593370370370369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3.5" customHeight="1">
      <c r="A30" s="40"/>
      <c r="B30" s="41" t="s">
        <v>152</v>
      </c>
      <c r="C30" s="39" t="s">
        <v>165</v>
      </c>
      <c r="D30" s="105">
        <v>100000</v>
      </c>
      <c r="E30" s="90">
        <f>1/D30</f>
        <v>1.0000000000000001E-5</v>
      </c>
      <c r="F30" s="32"/>
      <c r="G30" s="32"/>
      <c r="H30" s="97">
        <f>H6</f>
        <v>7450.21</v>
      </c>
      <c r="I30" s="97">
        <f>H30*E30</f>
        <v>7.4502100000000002E-2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 ht="13.5" customHeight="1">
      <c r="A31" s="25"/>
      <c r="B31" s="33"/>
      <c r="C31" s="34"/>
      <c r="D31" s="106"/>
      <c r="E31" s="88"/>
      <c r="F31" s="35"/>
      <c r="G31" s="35"/>
      <c r="H31" s="95"/>
      <c r="I31" s="96">
        <f>SUM(I30)</f>
        <v>7.4502100000000002E-2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3.5" customHeight="1">
      <c r="A32" s="25"/>
      <c r="B32" s="38" t="s">
        <v>152</v>
      </c>
      <c r="C32" s="43" t="s">
        <v>166</v>
      </c>
      <c r="D32" s="105">
        <v>450</v>
      </c>
      <c r="E32" s="90">
        <f>1/D32</f>
        <v>2.2222222222222222E-3</v>
      </c>
      <c r="F32" s="32"/>
      <c r="G32" s="32"/>
      <c r="H32" s="97">
        <f>H6</f>
        <v>7450.21</v>
      </c>
      <c r="I32" s="97">
        <f>H32*E32</f>
        <v>16.556022222222222</v>
      </c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3.5" customHeight="1">
      <c r="A33" s="25"/>
      <c r="B33" s="33"/>
      <c r="C33" s="34"/>
      <c r="D33" s="87"/>
      <c r="E33" s="88"/>
      <c r="F33" s="35"/>
      <c r="G33" s="35"/>
      <c r="H33" s="95"/>
      <c r="I33" s="96">
        <f>SUM(I32)</f>
        <v>16.556022222222222</v>
      </c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13.5" customHeight="1">
      <c r="A34" s="25"/>
      <c r="B34" s="25"/>
      <c r="C34" s="25"/>
      <c r="D34" s="26"/>
      <c r="E34" s="91"/>
      <c r="F34" s="44"/>
      <c r="G34" s="44"/>
      <c r="H34" s="26"/>
      <c r="I34" s="26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27" customHeight="1">
      <c r="A35" s="25"/>
      <c r="B35" s="70" t="s">
        <v>147</v>
      </c>
      <c r="C35" s="70" t="s">
        <v>148</v>
      </c>
      <c r="D35" s="375" t="s">
        <v>149</v>
      </c>
      <c r="E35" s="374"/>
      <c r="F35" s="71" t="s">
        <v>167</v>
      </c>
      <c r="G35" s="71" t="s">
        <v>168</v>
      </c>
      <c r="H35" s="71" t="s">
        <v>150</v>
      </c>
      <c r="I35" s="70" t="s">
        <v>151</v>
      </c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3.5" customHeight="1">
      <c r="A36" s="40"/>
      <c r="B36" s="41" t="s">
        <v>152</v>
      </c>
      <c r="C36" s="39" t="s">
        <v>169</v>
      </c>
      <c r="D36" s="105">
        <v>160</v>
      </c>
      <c r="E36" s="90">
        <f>1/D36</f>
        <v>6.2500000000000003E-3</v>
      </c>
      <c r="F36" s="45">
        <v>16</v>
      </c>
      <c r="G36" s="93">
        <f>1/188.76</f>
        <v>5.2977325704598437E-3</v>
      </c>
      <c r="H36" s="98">
        <f>'Custos por posto'!E124</f>
        <v>7804.69</v>
      </c>
      <c r="I36" s="98">
        <f>(E36*F36*G36)*H36</f>
        <v>4.1347160415342241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spans="1:26" ht="13.5" customHeight="1">
      <c r="A37" s="25"/>
      <c r="B37" s="33"/>
      <c r="C37" s="34"/>
      <c r="D37" s="106"/>
      <c r="E37" s="88"/>
      <c r="F37" s="36"/>
      <c r="G37" s="88"/>
      <c r="H37" s="99"/>
      <c r="I37" s="100">
        <f>SUM(I36)</f>
        <v>4.1347160415342241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3.5" customHeight="1">
      <c r="A38" s="40"/>
      <c r="B38" s="41" t="s">
        <v>152</v>
      </c>
      <c r="C38" s="39" t="s">
        <v>170</v>
      </c>
      <c r="D38" s="105">
        <v>380</v>
      </c>
      <c r="E38" s="90">
        <f>1/D38</f>
        <v>2.631578947368421E-3</v>
      </c>
      <c r="F38" s="46">
        <v>16</v>
      </c>
      <c r="G38" s="93">
        <f>1/188.76</f>
        <v>5.2977325704598437E-3</v>
      </c>
      <c r="H38" s="98">
        <f>H6</f>
        <v>7450.21</v>
      </c>
      <c r="I38" s="98">
        <f>(E38*F38*G38)*H38</f>
        <v>1.6618619020532897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 ht="13.5" customHeight="1">
      <c r="A39" s="25"/>
      <c r="B39" s="33"/>
      <c r="C39" s="34"/>
      <c r="D39" s="106"/>
      <c r="E39" s="88"/>
      <c r="F39" s="36"/>
      <c r="G39" s="88"/>
      <c r="H39" s="99"/>
      <c r="I39" s="100">
        <f>SUM(I38)</f>
        <v>1.6618619020532897</v>
      </c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3.5" customHeight="1">
      <c r="A40" s="25"/>
      <c r="B40" s="38" t="s">
        <v>152</v>
      </c>
      <c r="C40" s="39" t="s">
        <v>171</v>
      </c>
      <c r="D40" s="105">
        <v>380</v>
      </c>
      <c r="E40" s="90">
        <f>1/D40</f>
        <v>2.631578947368421E-3</v>
      </c>
      <c r="F40" s="47">
        <v>16</v>
      </c>
      <c r="G40" s="93">
        <f>1/188.76</f>
        <v>5.2977325704598437E-3</v>
      </c>
      <c r="H40" s="98">
        <f>H6</f>
        <v>7450.21</v>
      </c>
      <c r="I40" s="98">
        <f>(E40*F40*G40)*H40</f>
        <v>1.6618619020532897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13.5" customHeight="1">
      <c r="A41" s="25"/>
      <c r="B41" s="33"/>
      <c r="C41" s="34"/>
      <c r="D41" s="106"/>
      <c r="E41" s="88"/>
      <c r="F41" s="36"/>
      <c r="G41" s="88"/>
      <c r="H41" s="99"/>
      <c r="I41" s="100">
        <f>SUM(I40)</f>
        <v>1.6618619020532897</v>
      </c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3.5" customHeight="1">
      <c r="A42" s="25"/>
      <c r="B42" s="38" t="s">
        <v>152</v>
      </c>
      <c r="C42" s="39" t="s">
        <v>172</v>
      </c>
      <c r="D42" s="105">
        <v>160</v>
      </c>
      <c r="E42" s="92">
        <f>1/(30*D42)</f>
        <v>2.0833333333333335E-4</v>
      </c>
      <c r="F42" s="47">
        <v>8</v>
      </c>
      <c r="G42" s="93">
        <f>1/1132.6</f>
        <v>8.8292424509977055E-4</v>
      </c>
      <c r="H42" s="98">
        <f>H6</f>
        <v>7450.21</v>
      </c>
      <c r="I42" s="98">
        <f>(E42*F42*G42)*H42</f>
        <v>1.0963285066807936E-2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3.5" customHeight="1">
      <c r="A43" s="25"/>
      <c r="B43" s="33"/>
      <c r="C43" s="34"/>
      <c r="D43" s="35"/>
      <c r="E43" s="36"/>
      <c r="F43" s="36"/>
      <c r="G43" s="36"/>
      <c r="H43" s="99"/>
      <c r="I43" s="100">
        <f>SUM(I42)</f>
        <v>1.0963285066807936E-2</v>
      </c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3.5" customHeight="1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3.5" customHeight="1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3.5" customHeight="1">
      <c r="A46" s="25"/>
      <c r="B46" s="376" t="s">
        <v>173</v>
      </c>
      <c r="C46" s="377"/>
      <c r="D46" s="377"/>
      <c r="E46" s="377"/>
      <c r="F46" s="377"/>
      <c r="G46" s="377"/>
      <c r="H46" s="372"/>
      <c r="I46" s="72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27" customHeight="1">
      <c r="A47" s="25"/>
      <c r="B47" s="378" t="s">
        <v>174</v>
      </c>
      <c r="C47" s="372"/>
      <c r="D47" s="68" t="s">
        <v>175</v>
      </c>
      <c r="E47" s="69" t="s">
        <v>148</v>
      </c>
      <c r="F47" s="68" t="s">
        <v>176</v>
      </c>
      <c r="G47" s="68" t="s">
        <v>177</v>
      </c>
      <c r="H47" s="73" t="s">
        <v>151</v>
      </c>
      <c r="I47" s="74" t="s">
        <v>178</v>
      </c>
      <c r="J47" s="25"/>
      <c r="K47" s="25" t="s">
        <v>179</v>
      </c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3.5" customHeight="1">
      <c r="A48" s="25"/>
      <c r="B48" s="369" t="s">
        <v>153</v>
      </c>
      <c r="C48" s="370"/>
      <c r="D48" s="98">
        <f>I7</f>
        <v>6.2085083333333335</v>
      </c>
      <c r="E48" s="49">
        <f>Locais!N4</f>
        <v>0</v>
      </c>
      <c r="F48" s="50">
        <v>1</v>
      </c>
      <c r="G48" s="49">
        <f t="shared" ref="G48:G61" si="0">E48*F48</f>
        <v>0</v>
      </c>
      <c r="H48" s="102">
        <f t="shared" ref="H48:H61" si="1">(D48*G48)</f>
        <v>0</v>
      </c>
      <c r="I48" s="51">
        <f t="shared" ref="I48:I61" si="2">G48/K48</f>
        <v>0</v>
      </c>
      <c r="J48" s="25"/>
      <c r="K48" s="25">
        <f>D6</f>
        <v>1200</v>
      </c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3.5" customHeight="1">
      <c r="A49" s="25"/>
      <c r="B49" s="369" t="s">
        <v>154</v>
      </c>
      <c r="C49" s="370"/>
      <c r="D49" s="98">
        <f>I9</f>
        <v>6.2085083333333335</v>
      </c>
      <c r="E49" s="49">
        <f>Locais!N5</f>
        <v>1821.3899999999999</v>
      </c>
      <c r="F49" s="50">
        <v>1</v>
      </c>
      <c r="G49" s="49">
        <f t="shared" si="0"/>
        <v>1821.3899999999999</v>
      </c>
      <c r="H49" s="102">
        <f t="shared" si="1"/>
        <v>11308.114993249999</v>
      </c>
      <c r="I49" s="51">
        <f t="shared" si="2"/>
        <v>1.517825</v>
      </c>
      <c r="J49" s="25"/>
      <c r="K49" s="25">
        <f>D8</f>
        <v>1200</v>
      </c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3.5" customHeight="1">
      <c r="A50" s="25"/>
      <c r="B50" s="369" t="s">
        <v>155</v>
      </c>
      <c r="C50" s="370"/>
      <c r="D50" s="98">
        <f>I11</f>
        <v>16.556022222222222</v>
      </c>
      <c r="E50" s="49">
        <f>Locais!N6</f>
        <v>0</v>
      </c>
      <c r="F50" s="50">
        <v>1</v>
      </c>
      <c r="G50" s="49">
        <f t="shared" si="0"/>
        <v>0</v>
      </c>
      <c r="H50" s="102">
        <f t="shared" si="1"/>
        <v>0</v>
      </c>
      <c r="I50" s="51">
        <f t="shared" si="2"/>
        <v>0</v>
      </c>
      <c r="J50" s="25"/>
      <c r="K50" s="25">
        <f>D10</f>
        <v>450</v>
      </c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3.5" customHeight="1">
      <c r="A51" s="25"/>
      <c r="B51" s="369" t="s">
        <v>180</v>
      </c>
      <c r="C51" s="370"/>
      <c r="D51" s="98">
        <f>I13</f>
        <v>2.9800840000000002</v>
      </c>
      <c r="E51" s="49">
        <f>Locais!N7</f>
        <v>0</v>
      </c>
      <c r="F51" s="50">
        <v>1</v>
      </c>
      <c r="G51" s="49">
        <f t="shared" si="0"/>
        <v>0</v>
      </c>
      <c r="H51" s="102">
        <f t="shared" si="1"/>
        <v>0</v>
      </c>
      <c r="I51" s="51">
        <f t="shared" si="2"/>
        <v>0</v>
      </c>
      <c r="J51" s="25"/>
      <c r="K51" s="25">
        <f>D12</f>
        <v>2500</v>
      </c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3.5" customHeight="1">
      <c r="A52" s="25"/>
      <c r="B52" s="369" t="s">
        <v>157</v>
      </c>
      <c r="C52" s="370"/>
      <c r="D52" s="98">
        <f>I15</f>
        <v>4.1390055555555554</v>
      </c>
      <c r="E52" s="49">
        <f>Locais!N8</f>
        <v>0</v>
      </c>
      <c r="F52" s="50">
        <v>1</v>
      </c>
      <c r="G52" s="49">
        <f t="shared" si="0"/>
        <v>0</v>
      </c>
      <c r="H52" s="102">
        <f t="shared" si="1"/>
        <v>0</v>
      </c>
      <c r="I52" s="51">
        <f t="shared" si="2"/>
        <v>0</v>
      </c>
      <c r="J52" s="25"/>
      <c r="K52" s="25">
        <f>D14</f>
        <v>1800</v>
      </c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3.5" customHeight="1">
      <c r="A53" s="25"/>
      <c r="B53" s="369" t="s">
        <v>158</v>
      </c>
      <c r="C53" s="370"/>
      <c r="D53" s="98">
        <f>I17</f>
        <v>4.9668066666666668</v>
      </c>
      <c r="E53" s="49">
        <f>Locais!N9</f>
        <v>0</v>
      </c>
      <c r="F53" s="50">
        <v>1</v>
      </c>
      <c r="G53" s="49">
        <f t="shared" si="0"/>
        <v>0</v>
      </c>
      <c r="H53" s="102">
        <f t="shared" si="1"/>
        <v>0</v>
      </c>
      <c r="I53" s="51">
        <f t="shared" si="2"/>
        <v>0</v>
      </c>
      <c r="J53" s="25"/>
      <c r="K53" s="25">
        <f>D16</f>
        <v>1500</v>
      </c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3.5" customHeight="1">
      <c r="A54" s="25"/>
      <c r="B54" s="369" t="s">
        <v>159</v>
      </c>
      <c r="C54" s="370"/>
      <c r="D54" s="98">
        <f>I19</f>
        <v>24.834033333333334</v>
      </c>
      <c r="E54" s="49">
        <f>Locais!N10</f>
        <v>247.68</v>
      </c>
      <c r="F54" s="50">
        <v>1</v>
      </c>
      <c r="G54" s="49">
        <f t="shared" si="0"/>
        <v>247.68</v>
      </c>
      <c r="H54" s="102">
        <f t="shared" si="1"/>
        <v>6150.893376</v>
      </c>
      <c r="I54" s="51">
        <f t="shared" si="2"/>
        <v>0.8256</v>
      </c>
      <c r="J54" s="25"/>
      <c r="K54" s="25">
        <f>D18</f>
        <v>300</v>
      </c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3.5" customHeight="1">
      <c r="A55" s="25"/>
      <c r="B55" s="369" t="s">
        <v>181</v>
      </c>
      <c r="C55" s="370"/>
      <c r="D55" s="101">
        <f>I21</f>
        <v>2.7593370370370369</v>
      </c>
      <c r="E55" s="49">
        <f>Locais!N11</f>
        <v>1849.58</v>
      </c>
      <c r="F55" s="50">
        <v>1</v>
      </c>
      <c r="G55" s="49">
        <f t="shared" si="0"/>
        <v>1849.58</v>
      </c>
      <c r="H55" s="102">
        <f t="shared" si="1"/>
        <v>5103.6145969629624</v>
      </c>
      <c r="I55" s="51">
        <f t="shared" si="2"/>
        <v>0.68502962962962965</v>
      </c>
      <c r="J55" s="25"/>
      <c r="K55" s="25">
        <f>D20</f>
        <v>2700</v>
      </c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3.5" customHeight="1">
      <c r="A56" s="25"/>
      <c r="B56" s="369" t="s">
        <v>182</v>
      </c>
      <c r="C56" s="370"/>
      <c r="D56" s="101">
        <f>I23</f>
        <v>0.82780111111111121</v>
      </c>
      <c r="E56" s="49">
        <f>Locais!N12</f>
        <v>0</v>
      </c>
      <c r="F56" s="50">
        <v>1</v>
      </c>
      <c r="G56" s="49">
        <f t="shared" si="0"/>
        <v>0</v>
      </c>
      <c r="H56" s="102">
        <f t="shared" si="1"/>
        <v>0</v>
      </c>
      <c r="I56" s="51">
        <f t="shared" si="2"/>
        <v>0</v>
      </c>
      <c r="J56" s="25"/>
      <c r="K56" s="25">
        <f>D22</f>
        <v>9000</v>
      </c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3.5" customHeight="1">
      <c r="A57" s="25"/>
      <c r="B57" s="369" t="s">
        <v>183</v>
      </c>
      <c r="C57" s="370"/>
      <c r="D57" s="101">
        <f>I25</f>
        <v>2.7593370370370369</v>
      </c>
      <c r="E57" s="49">
        <f>Locais!N13</f>
        <v>0</v>
      </c>
      <c r="F57" s="50">
        <v>1</v>
      </c>
      <c r="G57" s="49">
        <f t="shared" si="0"/>
        <v>0</v>
      </c>
      <c r="H57" s="102">
        <f t="shared" si="1"/>
        <v>0</v>
      </c>
      <c r="I57" s="51">
        <f t="shared" si="2"/>
        <v>0</v>
      </c>
      <c r="J57" s="25"/>
      <c r="K57" s="25">
        <f>D24</f>
        <v>2700</v>
      </c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3.5" customHeight="1">
      <c r="A58" s="25"/>
      <c r="B58" s="369" t="s">
        <v>184</v>
      </c>
      <c r="C58" s="370"/>
      <c r="D58" s="101">
        <f>I27</f>
        <v>2.7593370370370369</v>
      </c>
      <c r="E58" s="49">
        <f>Locais!N14</f>
        <v>0</v>
      </c>
      <c r="F58" s="50">
        <v>1</v>
      </c>
      <c r="G58" s="49">
        <f t="shared" si="0"/>
        <v>0</v>
      </c>
      <c r="H58" s="102">
        <f t="shared" si="1"/>
        <v>0</v>
      </c>
      <c r="I58" s="51">
        <f t="shared" si="2"/>
        <v>0</v>
      </c>
      <c r="J58" s="25"/>
      <c r="K58" s="25">
        <f>D26</f>
        <v>2700</v>
      </c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3.5" customHeight="1">
      <c r="A59" s="25"/>
      <c r="B59" s="369" t="s">
        <v>185</v>
      </c>
      <c r="C59" s="370"/>
      <c r="D59" s="101">
        <f>I29</f>
        <v>2.7593370370370369</v>
      </c>
      <c r="E59" s="49">
        <f>Locais!N15</f>
        <v>0</v>
      </c>
      <c r="F59" s="50">
        <v>1</v>
      </c>
      <c r="G59" s="49">
        <f t="shared" si="0"/>
        <v>0</v>
      </c>
      <c r="H59" s="102">
        <f t="shared" si="1"/>
        <v>0</v>
      </c>
      <c r="I59" s="51">
        <f t="shared" si="2"/>
        <v>0</v>
      </c>
      <c r="J59" s="25"/>
      <c r="K59" s="25">
        <f>D28</f>
        <v>2700</v>
      </c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3.5" customHeight="1">
      <c r="A60" s="25"/>
      <c r="B60" s="369" t="s">
        <v>186</v>
      </c>
      <c r="C60" s="370"/>
      <c r="D60" s="101">
        <f>I31</f>
        <v>7.4502100000000002E-2</v>
      </c>
      <c r="E60" s="49">
        <f>Locais!N16</f>
        <v>0</v>
      </c>
      <c r="F60" s="50">
        <v>1</v>
      </c>
      <c r="G60" s="49">
        <f t="shared" si="0"/>
        <v>0</v>
      </c>
      <c r="H60" s="102">
        <f t="shared" si="1"/>
        <v>0</v>
      </c>
      <c r="I60" s="51">
        <f t="shared" si="2"/>
        <v>0</v>
      </c>
      <c r="J60" s="25"/>
      <c r="K60" s="25">
        <f>D30</f>
        <v>100000</v>
      </c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3.5" customHeight="1">
      <c r="A61" s="25"/>
      <c r="B61" s="369" t="s">
        <v>187</v>
      </c>
      <c r="C61" s="370"/>
      <c r="D61" s="98">
        <f>I33</f>
        <v>16.556022222222222</v>
      </c>
      <c r="E61" s="49">
        <f>Locais!N21</f>
        <v>0</v>
      </c>
      <c r="F61" s="50">
        <v>1</v>
      </c>
      <c r="G61" s="49">
        <f t="shared" si="0"/>
        <v>0</v>
      </c>
      <c r="H61" s="102">
        <f t="shared" si="1"/>
        <v>0</v>
      </c>
      <c r="I61" s="51">
        <f t="shared" si="2"/>
        <v>0</v>
      </c>
      <c r="J61" s="25"/>
      <c r="K61" s="25">
        <f>D32</f>
        <v>450</v>
      </c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3.5" customHeight="1">
      <c r="A62" s="25"/>
      <c r="B62" s="76"/>
      <c r="C62" s="77"/>
      <c r="D62" s="78"/>
      <c r="E62" s="79"/>
      <c r="F62" s="76"/>
      <c r="G62" s="79"/>
      <c r="H62" s="80">
        <f>SUM(H48:H61)</f>
        <v>22562.622966212959</v>
      </c>
      <c r="I62" s="81">
        <f>SUM(I48:I61)</f>
        <v>3.0284546296296293</v>
      </c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3.5" customHeight="1">
      <c r="A63" s="25"/>
      <c r="B63" s="26"/>
      <c r="C63" s="25"/>
      <c r="D63" s="52"/>
      <c r="E63" s="53"/>
      <c r="F63" s="26"/>
      <c r="G63" s="53"/>
      <c r="H63" s="54"/>
      <c r="I63" s="5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27" customHeight="1">
      <c r="A64" s="25"/>
      <c r="B64" s="371" t="s">
        <v>174</v>
      </c>
      <c r="C64" s="372"/>
      <c r="D64" s="71" t="s">
        <v>175</v>
      </c>
      <c r="E64" s="70" t="s">
        <v>148</v>
      </c>
      <c r="F64" s="71" t="s">
        <v>188</v>
      </c>
      <c r="G64" s="68" t="s">
        <v>177</v>
      </c>
      <c r="H64" s="75" t="s">
        <v>151</v>
      </c>
      <c r="I64" s="74" t="s">
        <v>295</v>
      </c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3.5" customHeight="1">
      <c r="A65" s="25"/>
      <c r="B65" s="56" t="s">
        <v>189</v>
      </c>
      <c r="C65" s="57"/>
      <c r="D65" s="97">
        <f>I37</f>
        <v>4.1347160415342241</v>
      </c>
      <c r="E65" s="49">
        <f>Locais!N17</f>
        <v>25.310000000000002</v>
      </c>
      <c r="F65" s="50">
        <v>1</v>
      </c>
      <c r="G65" s="49">
        <f>Locais!N17</f>
        <v>25.310000000000002</v>
      </c>
      <c r="H65" s="97">
        <f t="shared" ref="H65:H68" si="3">(G65*D65)</f>
        <v>104.64966301123123</v>
      </c>
      <c r="I65" s="51">
        <f t="shared" ref="I65:I68" si="4">G65/K65</f>
        <v>0.15818750000000001</v>
      </c>
      <c r="J65" s="25"/>
      <c r="K65" s="25">
        <f>D36</f>
        <v>160</v>
      </c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3.5" customHeight="1">
      <c r="A66" s="25"/>
      <c r="B66" s="56" t="s">
        <v>190</v>
      </c>
      <c r="C66" s="57"/>
      <c r="D66" s="97">
        <f>I39</f>
        <v>1.6618619020532897</v>
      </c>
      <c r="E66" s="49">
        <f>Locais!N18</f>
        <v>30.703333333333333</v>
      </c>
      <c r="F66" s="50">
        <v>1</v>
      </c>
      <c r="G66" s="49">
        <f>Locais!N18</f>
        <v>30.703333333333333</v>
      </c>
      <c r="H66" s="97">
        <f t="shared" si="3"/>
        <v>51.024699932709503</v>
      </c>
      <c r="I66" s="51">
        <f t="shared" si="4"/>
        <v>8.0798245614035091E-2</v>
      </c>
      <c r="J66" s="25"/>
      <c r="K66" s="25">
        <f>D38</f>
        <v>380</v>
      </c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3.5" customHeight="1">
      <c r="A67" s="25"/>
      <c r="B67" s="56" t="s">
        <v>171</v>
      </c>
      <c r="C67" s="57"/>
      <c r="D67" s="97">
        <f>I41</f>
        <v>1.6618619020532897</v>
      </c>
      <c r="E67" s="49">
        <f>Locais!N19</f>
        <v>11.620833333333332</v>
      </c>
      <c r="F67" s="50">
        <v>1</v>
      </c>
      <c r="G67" s="49">
        <f>Locais!N19</f>
        <v>11.620833333333332</v>
      </c>
      <c r="H67" s="97">
        <f t="shared" si="3"/>
        <v>19.312220186777601</v>
      </c>
      <c r="I67" s="51">
        <f t="shared" si="4"/>
        <v>3.0581140350877188E-2</v>
      </c>
      <c r="J67" s="25"/>
      <c r="K67" s="25">
        <f>D40</f>
        <v>380</v>
      </c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3.5" customHeight="1">
      <c r="A68" s="25"/>
      <c r="B68" s="56" t="s">
        <v>191</v>
      </c>
      <c r="C68" s="57"/>
      <c r="D68" s="97">
        <f>I43</f>
        <v>1.0963285066807936E-2</v>
      </c>
      <c r="E68" s="49">
        <f>Locais!N20</f>
        <v>0</v>
      </c>
      <c r="F68" s="50">
        <v>1</v>
      </c>
      <c r="G68" s="49">
        <f>Locais!N20</f>
        <v>0</v>
      </c>
      <c r="H68" s="97">
        <f t="shared" si="3"/>
        <v>0</v>
      </c>
      <c r="I68" s="51">
        <f t="shared" si="4"/>
        <v>0</v>
      </c>
      <c r="J68" s="25"/>
      <c r="K68" s="25">
        <f>D42</f>
        <v>160</v>
      </c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3.5" customHeight="1">
      <c r="A69" s="25"/>
      <c r="B69" s="76"/>
      <c r="C69" s="77"/>
      <c r="D69" s="77"/>
      <c r="E69" s="77"/>
      <c r="F69" s="77"/>
      <c r="G69" s="77"/>
      <c r="H69" s="80">
        <f t="shared" ref="H69:I69" si="5">SUM(H65:H68)</f>
        <v>174.98658313071834</v>
      </c>
      <c r="I69" s="81">
        <f t="shared" si="5"/>
        <v>0.2695668859649123</v>
      </c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3.5" customHeight="1">
      <c r="A70" s="25"/>
      <c r="B70" s="82" t="s">
        <v>297</v>
      </c>
      <c r="C70" s="83"/>
      <c r="D70" s="83"/>
      <c r="E70" s="83"/>
      <c r="F70" s="83"/>
      <c r="G70" s="84"/>
      <c r="H70" s="103">
        <f t="shared" ref="H70:I70" si="6">H62+H69</f>
        <v>22737.609549343677</v>
      </c>
      <c r="I70" s="81">
        <f t="shared" si="6"/>
        <v>3.2980215155945416</v>
      </c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3.5" customHeight="1">
      <c r="A71" s="25"/>
      <c r="B71" s="25"/>
      <c r="C71" s="25"/>
      <c r="D71" s="25"/>
      <c r="E71" s="25"/>
      <c r="F71" s="25"/>
      <c r="G71" s="25"/>
      <c r="H71" s="25"/>
      <c r="J71" s="25"/>
      <c r="K71" s="25"/>
      <c r="L71" s="58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3.5" customHeight="1">
      <c r="A72" s="25"/>
      <c r="B72" s="25"/>
      <c r="C72" s="25"/>
      <c r="D72" s="25"/>
      <c r="E72" s="25"/>
      <c r="F72" s="25"/>
      <c r="G72" s="368" t="s">
        <v>296</v>
      </c>
      <c r="H72" s="368"/>
      <c r="I72" s="104">
        <f>ROUND(I70,0)</f>
        <v>3</v>
      </c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3.5" customHeight="1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3.5" customHeight="1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3.5" hidden="1" customHeight="1">
      <c r="A75" s="25"/>
      <c r="B75" s="48" t="s">
        <v>153</v>
      </c>
      <c r="C75" s="59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3.5" hidden="1" customHeight="1">
      <c r="A76" s="25"/>
      <c r="B76" s="48" t="s">
        <v>154</v>
      </c>
      <c r="C76" s="59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3.5" hidden="1" customHeight="1">
      <c r="A77" s="25"/>
      <c r="B77" s="48" t="s">
        <v>155</v>
      </c>
      <c r="C77" s="59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3.5" hidden="1" customHeight="1">
      <c r="A78" s="25"/>
      <c r="B78" s="48" t="s">
        <v>180</v>
      </c>
      <c r="C78" s="59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3.5" hidden="1" customHeight="1">
      <c r="A79" s="25"/>
      <c r="B79" s="48" t="s">
        <v>157</v>
      </c>
      <c r="C79" s="59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3.5" hidden="1" customHeight="1">
      <c r="A80" s="25"/>
      <c r="B80" s="48" t="s">
        <v>158</v>
      </c>
      <c r="C80" s="59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3.5" hidden="1" customHeight="1">
      <c r="A81" s="25"/>
      <c r="B81" s="48" t="s">
        <v>159</v>
      </c>
      <c r="C81" s="59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3.5" hidden="1" customHeight="1">
      <c r="A82" s="25"/>
      <c r="B82" s="48" t="s">
        <v>181</v>
      </c>
      <c r="C82" s="59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3.5" hidden="1" customHeight="1">
      <c r="A83" s="25"/>
      <c r="B83" s="48" t="s">
        <v>182</v>
      </c>
      <c r="C83" s="59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3.5" hidden="1" customHeight="1">
      <c r="A84" s="25"/>
      <c r="B84" s="48" t="s">
        <v>183</v>
      </c>
      <c r="C84" s="59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3.5" hidden="1" customHeight="1">
      <c r="A85" s="25"/>
      <c r="B85" s="48" t="s">
        <v>184</v>
      </c>
      <c r="C85" s="59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3.5" hidden="1" customHeight="1">
      <c r="A86" s="25"/>
      <c r="B86" s="48" t="s">
        <v>185</v>
      </c>
      <c r="C86" s="59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3.5" hidden="1" customHeight="1">
      <c r="A87" s="25"/>
      <c r="B87" s="48" t="s">
        <v>186</v>
      </c>
      <c r="C87" s="59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3.5" hidden="1" customHeight="1">
      <c r="A88" s="25"/>
      <c r="B88" s="48" t="s">
        <v>187</v>
      </c>
      <c r="C88" s="59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3.5" customHeight="1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</sheetData>
  <mergeCells count="20">
    <mergeCell ref="B49:C49"/>
    <mergeCell ref="B57:C57"/>
    <mergeCell ref="B58:C58"/>
    <mergeCell ref="B59:C59"/>
    <mergeCell ref="D5:E5"/>
    <mergeCell ref="D35:E35"/>
    <mergeCell ref="B46:H46"/>
    <mergeCell ref="B47:C47"/>
    <mergeCell ref="B48:C48"/>
    <mergeCell ref="G72:H72"/>
    <mergeCell ref="B60:C60"/>
    <mergeCell ref="B61:C61"/>
    <mergeCell ref="B64:C64"/>
    <mergeCell ref="B50:C50"/>
    <mergeCell ref="B51:C51"/>
    <mergeCell ref="B52:C52"/>
    <mergeCell ref="B53:C53"/>
    <mergeCell ref="B54:C54"/>
    <mergeCell ref="B55:C55"/>
    <mergeCell ref="B56:C56"/>
  </mergeCells>
  <printOptions horizontalCentered="1"/>
  <pageMargins left="0.25" right="0.25" top="0.75" bottom="0.75" header="0" footer="0"/>
  <pageSetup paperSize="9" scale="72" fitToWidth="0" orientation="portrait" r:id="rId1"/>
  <headerFooter>
    <oddHeader>&amp;R &amp;F &amp;A</oddHeader>
    <oddFooter>&amp;C&amp;P/&amp;RGestão Formal de Contratos (visto)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  <pageSetUpPr fitToPage="1"/>
  </sheetPr>
  <dimension ref="B1:K27"/>
  <sheetViews>
    <sheetView topLeftCell="A13" workbookViewId="0">
      <selection activeCell="D13" sqref="D13"/>
    </sheetView>
  </sheetViews>
  <sheetFormatPr defaultColWidth="14.44140625" defaultRowHeight="11.4"/>
  <cols>
    <col min="1" max="1" width="4" style="107" customWidth="1"/>
    <col min="2" max="2" width="4.6640625" style="107" customWidth="1"/>
    <col min="3" max="3" width="7.6640625" style="107" customWidth="1"/>
    <col min="4" max="4" width="45.5546875" style="109" customWidth="1"/>
    <col min="5" max="5" width="8.5546875" style="107" customWidth="1"/>
    <col min="6" max="6" width="14" style="107" customWidth="1"/>
    <col min="7" max="7" width="10.77734375" style="107" customWidth="1"/>
    <col min="8" max="9" width="11.6640625" style="107" customWidth="1"/>
    <col min="10" max="10" width="11.6640625" style="107" hidden="1" customWidth="1"/>
    <col min="11" max="11" width="11.6640625" style="107" customWidth="1"/>
    <col min="12" max="16384" width="14.44140625" style="107"/>
  </cols>
  <sheetData>
    <row r="1" spans="2:11" ht="12">
      <c r="D1" s="108"/>
    </row>
    <row r="2" spans="2:11" ht="12">
      <c r="B2" s="114" t="s">
        <v>192</v>
      </c>
      <c r="D2" s="107"/>
    </row>
    <row r="4" spans="2:11" ht="36">
      <c r="B4" s="128" t="s">
        <v>19</v>
      </c>
      <c r="C4" s="128" t="s">
        <v>193</v>
      </c>
      <c r="D4" s="129" t="s">
        <v>194</v>
      </c>
      <c r="E4" s="128" t="s">
        <v>195</v>
      </c>
      <c r="F4" s="130" t="s">
        <v>300</v>
      </c>
      <c r="G4" s="131" t="s">
        <v>197</v>
      </c>
      <c r="H4" s="130" t="s">
        <v>198</v>
      </c>
      <c r="I4" s="110"/>
      <c r="J4" s="110"/>
      <c r="K4" s="110"/>
    </row>
    <row r="5" spans="2:11" ht="22.8">
      <c r="B5" s="136">
        <v>1</v>
      </c>
      <c r="C5" s="137" t="s">
        <v>199</v>
      </c>
      <c r="D5" s="138" t="s">
        <v>200</v>
      </c>
      <c r="E5" s="165">
        <v>1</v>
      </c>
      <c r="F5" s="166">
        <v>1383.33</v>
      </c>
      <c r="G5" s="136">
        <v>120</v>
      </c>
      <c r="H5" s="167">
        <f t="shared" ref="H5:H14" si="0">((F5*E5)/G5)</f>
        <v>11.527749999999999</v>
      </c>
      <c r="I5" s="111"/>
      <c r="J5" s="111" t="s">
        <v>292</v>
      </c>
      <c r="K5" s="111"/>
    </row>
    <row r="6" spans="2:11" ht="22.8">
      <c r="B6" s="155">
        <v>2</v>
      </c>
      <c r="C6" s="156" t="s">
        <v>199</v>
      </c>
      <c r="D6" s="157" t="s">
        <v>201</v>
      </c>
      <c r="E6" s="171">
        <v>4</v>
      </c>
      <c r="F6" s="172">
        <v>598.46</v>
      </c>
      <c r="G6" s="155">
        <v>60</v>
      </c>
      <c r="H6" s="173">
        <f t="shared" si="0"/>
        <v>39.897333333333336</v>
      </c>
      <c r="I6" s="111"/>
      <c r="J6" s="111" t="s">
        <v>292</v>
      </c>
      <c r="K6" s="111"/>
    </row>
    <row r="7" spans="2:11" ht="22.8">
      <c r="B7" s="155">
        <v>3</v>
      </c>
      <c r="C7" s="156" t="s">
        <v>199</v>
      </c>
      <c r="D7" s="391" t="s">
        <v>345</v>
      </c>
      <c r="E7" s="171">
        <v>1</v>
      </c>
      <c r="F7" s="172">
        <v>600.62</v>
      </c>
      <c r="G7" s="155">
        <v>120</v>
      </c>
      <c r="H7" s="173">
        <f t="shared" si="0"/>
        <v>5.0051666666666668</v>
      </c>
      <c r="I7" s="111"/>
      <c r="J7" s="111" t="s">
        <v>292</v>
      </c>
      <c r="K7" s="111"/>
    </row>
    <row r="8" spans="2:11">
      <c r="B8" s="155">
        <v>4</v>
      </c>
      <c r="C8" s="156" t="s">
        <v>199</v>
      </c>
      <c r="D8" s="157" t="s">
        <v>202</v>
      </c>
      <c r="E8" s="171">
        <v>3</v>
      </c>
      <c r="F8" s="172">
        <v>213.15</v>
      </c>
      <c r="G8" s="155">
        <v>60</v>
      </c>
      <c r="H8" s="173">
        <f t="shared" si="0"/>
        <v>10.657500000000001</v>
      </c>
      <c r="I8" s="111"/>
      <c r="J8" s="111" t="s">
        <v>292</v>
      </c>
      <c r="K8" s="111"/>
    </row>
    <row r="9" spans="2:11" ht="22.8">
      <c r="B9" s="155">
        <v>5</v>
      </c>
      <c r="C9" s="156" t="s">
        <v>199</v>
      </c>
      <c r="D9" s="391" t="s">
        <v>346</v>
      </c>
      <c r="E9" s="171">
        <v>1</v>
      </c>
      <c r="F9" s="172">
        <v>626.47</v>
      </c>
      <c r="G9" s="155">
        <v>60</v>
      </c>
      <c r="H9" s="173">
        <f t="shared" si="0"/>
        <v>10.441166666666668</v>
      </c>
      <c r="I9" s="111"/>
      <c r="J9" s="111" t="s">
        <v>292</v>
      </c>
      <c r="K9" s="111"/>
    </row>
    <row r="10" spans="2:11" ht="22.8">
      <c r="B10" s="155">
        <v>6</v>
      </c>
      <c r="C10" s="156" t="s">
        <v>199</v>
      </c>
      <c r="D10" s="174" t="s">
        <v>347</v>
      </c>
      <c r="E10" s="171">
        <v>1</v>
      </c>
      <c r="F10" s="172">
        <v>560.63</v>
      </c>
      <c r="G10" s="155">
        <v>120</v>
      </c>
      <c r="H10" s="173">
        <f t="shared" si="0"/>
        <v>4.6719166666666663</v>
      </c>
      <c r="I10" s="111"/>
      <c r="J10" s="111" t="s">
        <v>292</v>
      </c>
      <c r="K10" s="111"/>
    </row>
    <row r="11" spans="2:11" ht="34.200000000000003">
      <c r="B11" s="155">
        <v>7</v>
      </c>
      <c r="C11" s="156" t="s">
        <v>199</v>
      </c>
      <c r="D11" s="157" t="s">
        <v>203</v>
      </c>
      <c r="E11" s="171">
        <v>1</v>
      </c>
      <c r="F11" s="172">
        <v>1552.47</v>
      </c>
      <c r="G11" s="155">
        <v>120</v>
      </c>
      <c r="H11" s="173">
        <f t="shared" si="0"/>
        <v>12.937250000000001</v>
      </c>
      <c r="I11" s="111"/>
      <c r="J11" s="111" t="s">
        <v>292</v>
      </c>
      <c r="K11" s="111"/>
    </row>
    <row r="12" spans="2:11" ht="22.8">
      <c r="B12" s="155">
        <v>8</v>
      </c>
      <c r="C12" s="156" t="s">
        <v>199</v>
      </c>
      <c r="D12" s="391" t="s">
        <v>348</v>
      </c>
      <c r="E12" s="171">
        <v>2</v>
      </c>
      <c r="F12" s="172">
        <v>136.5</v>
      </c>
      <c r="G12" s="155">
        <v>60</v>
      </c>
      <c r="H12" s="173">
        <f t="shared" si="0"/>
        <v>4.55</v>
      </c>
      <c r="I12" s="111"/>
      <c r="J12" s="111" t="s">
        <v>292</v>
      </c>
      <c r="K12" s="111"/>
    </row>
    <row r="13" spans="2:11">
      <c r="B13" s="155">
        <v>9</v>
      </c>
      <c r="C13" s="156" t="s">
        <v>199</v>
      </c>
      <c r="D13" s="157" t="s">
        <v>204</v>
      </c>
      <c r="E13" s="171">
        <v>1</v>
      </c>
      <c r="F13" s="172">
        <v>728.52</v>
      </c>
      <c r="G13" s="155">
        <v>120</v>
      </c>
      <c r="H13" s="173">
        <f t="shared" si="0"/>
        <v>6.0709999999999997</v>
      </c>
      <c r="I13" s="111"/>
      <c r="J13" s="111" t="s">
        <v>292</v>
      </c>
      <c r="K13" s="111"/>
    </row>
    <row r="14" spans="2:11">
      <c r="B14" s="140">
        <v>10</v>
      </c>
      <c r="C14" s="141" t="s">
        <v>199</v>
      </c>
      <c r="D14" s="142" t="s">
        <v>205</v>
      </c>
      <c r="E14" s="168">
        <v>1</v>
      </c>
      <c r="F14" s="169">
        <v>1711.33</v>
      </c>
      <c r="G14" s="140">
        <v>60</v>
      </c>
      <c r="H14" s="170">
        <f t="shared" si="0"/>
        <v>28.522166666666667</v>
      </c>
      <c r="I14" s="111"/>
      <c r="J14" s="111" t="s">
        <v>292</v>
      </c>
      <c r="K14" s="111"/>
    </row>
    <row r="15" spans="2:11" ht="12">
      <c r="B15" s="120"/>
      <c r="C15" s="335"/>
      <c r="D15" s="121" t="s">
        <v>206</v>
      </c>
      <c r="E15" s="335"/>
      <c r="F15" s="336"/>
      <c r="G15" s="336"/>
      <c r="H15" s="186">
        <f>ROUND(SUM(H5:H14),2)</f>
        <v>134.28</v>
      </c>
      <c r="I15" s="113"/>
      <c r="J15" s="113"/>
      <c r="K15" s="113"/>
    </row>
    <row r="16" spans="2:11" ht="12">
      <c r="B16" s="120"/>
      <c r="C16" s="335"/>
      <c r="D16" s="121" t="s">
        <v>299</v>
      </c>
      <c r="E16" s="336">
        <f>'Cálculo custoM²'!I72</f>
        <v>3</v>
      </c>
      <c r="F16" s="336" t="s">
        <v>208</v>
      </c>
      <c r="G16" s="336"/>
      <c r="H16" s="186">
        <f>ROUND(H15/E16,2)</f>
        <v>44.76</v>
      </c>
      <c r="I16" s="113"/>
      <c r="J16" s="113"/>
      <c r="K16" s="113"/>
    </row>
    <row r="17" spans="2:11" ht="12">
      <c r="B17" s="114"/>
      <c r="D17" s="108"/>
      <c r="E17" s="115"/>
      <c r="F17" s="117"/>
      <c r="G17" s="117"/>
      <c r="H17" s="118"/>
      <c r="I17" s="113"/>
      <c r="J17" s="113"/>
      <c r="K17" s="113"/>
    </row>
    <row r="18" spans="2:11">
      <c r="F18" s="117"/>
      <c r="G18" s="117"/>
      <c r="H18" s="117"/>
    </row>
    <row r="19" spans="2:11">
      <c r="F19" s="117"/>
      <c r="G19" s="117"/>
      <c r="H19" s="117"/>
    </row>
    <row r="20" spans="2:11" ht="12">
      <c r="B20" s="114" t="s">
        <v>209</v>
      </c>
      <c r="F20" s="117"/>
      <c r="G20" s="117"/>
      <c r="H20" s="117"/>
    </row>
    <row r="21" spans="2:11">
      <c r="F21" s="117"/>
      <c r="G21" s="117"/>
      <c r="H21" s="117"/>
    </row>
    <row r="22" spans="2:11" ht="24">
      <c r="B22" s="128" t="s">
        <v>19</v>
      </c>
      <c r="C22" s="128" t="s">
        <v>193</v>
      </c>
      <c r="D22" s="129" t="s">
        <v>194</v>
      </c>
      <c r="E22" s="128" t="s">
        <v>195</v>
      </c>
      <c r="F22" s="130" t="s">
        <v>300</v>
      </c>
      <c r="G22" s="130" t="s">
        <v>301</v>
      </c>
      <c r="H22" s="130" t="s">
        <v>210</v>
      </c>
    </row>
    <row r="23" spans="2:11" ht="15.6" customHeight="1">
      <c r="B23" s="159">
        <v>1</v>
      </c>
      <c r="C23" s="160" t="s">
        <v>199</v>
      </c>
      <c r="D23" s="161" t="s">
        <v>211</v>
      </c>
      <c r="E23" s="162">
        <v>1</v>
      </c>
      <c r="F23" s="163">
        <v>2373.33</v>
      </c>
      <c r="G23" s="164">
        <f>F23*E23</f>
        <v>2373.33</v>
      </c>
      <c r="H23" s="164">
        <f>G23/12</f>
        <v>197.7775</v>
      </c>
      <c r="J23" s="107" t="s">
        <v>292</v>
      </c>
    </row>
    <row r="24" spans="2:11" ht="12">
      <c r="B24" s="124"/>
      <c r="C24" s="124"/>
      <c r="D24" s="125" t="s">
        <v>299</v>
      </c>
      <c r="E24" s="126">
        <f>'Cálculo custoM²'!I72</f>
        <v>3</v>
      </c>
      <c r="F24" s="126" t="s">
        <v>208</v>
      </c>
      <c r="G24" s="126"/>
      <c r="H24" s="127">
        <f>ROUND(H23/E24,2)</f>
        <v>65.930000000000007</v>
      </c>
    </row>
    <row r="25" spans="2:11">
      <c r="F25" s="117"/>
      <c r="G25" s="117"/>
      <c r="H25" s="117"/>
    </row>
    <row r="26" spans="2:11">
      <c r="F26" s="117"/>
      <c r="G26" s="117"/>
      <c r="H26" s="117"/>
    </row>
    <row r="27" spans="2:11" ht="24">
      <c r="B27" s="120"/>
      <c r="C27" s="120"/>
      <c r="D27" s="121" t="s">
        <v>212</v>
      </c>
      <c r="E27" s="120"/>
      <c r="F27" s="122"/>
      <c r="G27" s="122"/>
      <c r="H27" s="123">
        <f>H24+H16</f>
        <v>110.69</v>
      </c>
    </row>
  </sheetData>
  <printOptions horizontalCentered="1"/>
  <pageMargins left="0.51181102362204722" right="0.51181102362204722" top="0.78740157480314965" bottom="0.78740157480314965" header="0" footer="0"/>
  <pageSetup paperSize="9" scale="89" fitToHeight="0" orientation="portrait" r:id="rId1"/>
  <headerFooter>
    <oddHeader>&amp;R &amp;F &amp;A</oddHeader>
    <oddFooter>&amp;C&amp;P/&amp;RGestão Formal de Contratos (visto)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</sheetPr>
  <dimension ref="B2:I34"/>
  <sheetViews>
    <sheetView workbookViewId="0">
      <selection activeCell="J11" sqref="J11"/>
    </sheetView>
  </sheetViews>
  <sheetFormatPr defaultColWidth="14.44140625" defaultRowHeight="11.4"/>
  <cols>
    <col min="1" max="1" width="1.77734375" style="107" customWidth="1"/>
    <col min="2" max="2" width="4.77734375" style="107" customWidth="1"/>
    <col min="3" max="3" width="9.5546875" style="107" customWidth="1"/>
    <col min="4" max="4" width="48.44140625" style="107" customWidth="1"/>
    <col min="5" max="5" width="6.44140625" style="117" customWidth="1"/>
    <col min="6" max="6" width="10.33203125" style="119" customWidth="1"/>
    <col min="7" max="7" width="11.88671875" style="119" customWidth="1"/>
    <col min="8" max="8" width="14.44140625" style="107"/>
    <col min="9" max="9" width="14.44140625" style="107" hidden="1" customWidth="1"/>
    <col min="10" max="16384" width="14.44140625" style="107"/>
  </cols>
  <sheetData>
    <row r="2" spans="2:9" ht="12">
      <c r="B2" s="114" t="s">
        <v>120</v>
      </c>
    </row>
    <row r="3" spans="2:9">
      <c r="D3" s="134"/>
    </row>
    <row r="4" spans="2:9" ht="24">
      <c r="B4" s="128" t="s">
        <v>19</v>
      </c>
      <c r="C4" s="128" t="s">
        <v>193</v>
      </c>
      <c r="D4" s="129" t="s">
        <v>194</v>
      </c>
      <c r="E4" s="128" t="s">
        <v>213</v>
      </c>
      <c r="F4" s="135" t="s">
        <v>196</v>
      </c>
      <c r="G4" s="135" t="s">
        <v>214</v>
      </c>
    </row>
    <row r="5" spans="2:9">
      <c r="B5" s="136">
        <v>1</v>
      </c>
      <c r="C5" s="137" t="s">
        <v>199</v>
      </c>
      <c r="D5" s="138" t="s">
        <v>215</v>
      </c>
      <c r="E5" s="165">
        <v>1</v>
      </c>
      <c r="F5" s="229">
        <v>56.8</v>
      </c>
      <c r="G5" s="139">
        <f t="shared" ref="G5:G12" si="0">E5*F5</f>
        <v>56.8</v>
      </c>
      <c r="I5" s="107" t="s">
        <v>292</v>
      </c>
    </row>
    <row r="6" spans="2:9">
      <c r="B6" s="155">
        <v>2</v>
      </c>
      <c r="C6" s="156" t="s">
        <v>199</v>
      </c>
      <c r="D6" s="157" t="s">
        <v>216</v>
      </c>
      <c r="E6" s="171">
        <v>4</v>
      </c>
      <c r="F6" s="230">
        <v>68.63</v>
      </c>
      <c r="G6" s="158">
        <f t="shared" si="0"/>
        <v>274.52</v>
      </c>
      <c r="I6" s="107" t="s">
        <v>292</v>
      </c>
    </row>
    <row r="7" spans="2:9">
      <c r="B7" s="155">
        <v>3</v>
      </c>
      <c r="C7" s="156" t="s">
        <v>199</v>
      </c>
      <c r="D7" s="157" t="s">
        <v>217</v>
      </c>
      <c r="E7" s="171">
        <v>2</v>
      </c>
      <c r="F7" s="230">
        <v>16.170000000000002</v>
      </c>
      <c r="G7" s="158">
        <f t="shared" si="0"/>
        <v>32.340000000000003</v>
      </c>
      <c r="I7" s="107" t="s">
        <v>292</v>
      </c>
    </row>
    <row r="8" spans="2:9" ht="22.8">
      <c r="B8" s="155">
        <v>4</v>
      </c>
      <c r="C8" s="156" t="s">
        <v>199</v>
      </c>
      <c r="D8" s="157" t="s">
        <v>218</v>
      </c>
      <c r="E8" s="171">
        <v>4</v>
      </c>
      <c r="F8" s="230">
        <v>47.83</v>
      </c>
      <c r="G8" s="158">
        <f t="shared" si="0"/>
        <v>191.32</v>
      </c>
      <c r="I8" s="107" t="s">
        <v>292</v>
      </c>
    </row>
    <row r="9" spans="2:9" ht="22.8">
      <c r="B9" s="155">
        <v>5</v>
      </c>
      <c r="C9" s="156" t="s">
        <v>199</v>
      </c>
      <c r="D9" s="157" t="s">
        <v>219</v>
      </c>
      <c r="E9" s="171">
        <v>8</v>
      </c>
      <c r="F9" s="230">
        <v>39.33</v>
      </c>
      <c r="G9" s="158">
        <f t="shared" si="0"/>
        <v>314.64</v>
      </c>
      <c r="I9" s="107" t="s">
        <v>292</v>
      </c>
    </row>
    <row r="10" spans="2:9">
      <c r="B10" s="155">
        <v>6</v>
      </c>
      <c r="C10" s="156" t="s">
        <v>199</v>
      </c>
      <c r="D10" s="157" t="s">
        <v>220</v>
      </c>
      <c r="E10" s="171">
        <v>1</v>
      </c>
      <c r="F10" s="230">
        <v>126.63</v>
      </c>
      <c r="G10" s="158">
        <f t="shared" si="0"/>
        <v>126.63</v>
      </c>
      <c r="I10" s="107" t="s">
        <v>292</v>
      </c>
    </row>
    <row r="11" spans="2:9" ht="22.8">
      <c r="B11" s="155">
        <v>7</v>
      </c>
      <c r="C11" s="156" t="s">
        <v>199</v>
      </c>
      <c r="D11" s="157" t="s">
        <v>221</v>
      </c>
      <c r="E11" s="171">
        <v>1</v>
      </c>
      <c r="F11" s="230">
        <v>120.9</v>
      </c>
      <c r="G11" s="158">
        <f t="shared" si="0"/>
        <v>120.9</v>
      </c>
      <c r="I11" s="107" t="s">
        <v>292</v>
      </c>
    </row>
    <row r="12" spans="2:9" ht="22.8">
      <c r="B12" s="140">
        <v>8</v>
      </c>
      <c r="C12" s="141" t="s">
        <v>199</v>
      </c>
      <c r="D12" s="142" t="s">
        <v>222</v>
      </c>
      <c r="E12" s="168">
        <v>4</v>
      </c>
      <c r="F12" s="231">
        <v>60.4</v>
      </c>
      <c r="G12" s="143">
        <f t="shared" si="0"/>
        <v>241.6</v>
      </c>
      <c r="I12" s="107" t="s">
        <v>292</v>
      </c>
    </row>
    <row r="13" spans="2:9" ht="12">
      <c r="B13" s="144"/>
      <c r="C13" s="112"/>
      <c r="D13" s="145" t="s">
        <v>223</v>
      </c>
      <c r="E13" s="116"/>
      <c r="F13" s="146"/>
      <c r="G13" s="147">
        <f>SUM(G5:G12)</f>
        <v>1358.75</v>
      </c>
    </row>
    <row r="14" spans="2:9" ht="12">
      <c r="B14" s="132"/>
      <c r="C14" s="124"/>
      <c r="D14" s="148" t="s">
        <v>206</v>
      </c>
      <c r="E14" s="126">
        <v>12</v>
      </c>
      <c r="F14" s="149" t="s">
        <v>224</v>
      </c>
      <c r="G14" s="150">
        <f>G13/E14</f>
        <v>113.22916666666667</v>
      </c>
    </row>
    <row r="15" spans="2:9" ht="12">
      <c r="B15" s="114"/>
      <c r="D15" s="151"/>
      <c r="G15" s="152"/>
    </row>
    <row r="16" spans="2:9" ht="12">
      <c r="B16" s="114"/>
      <c r="D16" s="151"/>
      <c r="G16" s="152"/>
    </row>
    <row r="17" spans="2:9" ht="12">
      <c r="B17" s="114" t="s">
        <v>302</v>
      </c>
      <c r="D17" s="151"/>
      <c r="G17" s="152"/>
    </row>
    <row r="18" spans="2:9">
      <c r="B18" s="117"/>
      <c r="C18" s="117"/>
      <c r="D18" s="134"/>
    </row>
    <row r="19" spans="2:9" ht="24">
      <c r="B19" s="153" t="s">
        <v>19</v>
      </c>
      <c r="C19" s="128" t="s">
        <v>193</v>
      </c>
      <c r="D19" s="154" t="s">
        <v>194</v>
      </c>
      <c r="E19" s="128" t="s">
        <v>213</v>
      </c>
      <c r="F19" s="135" t="s">
        <v>196</v>
      </c>
      <c r="G19" s="135" t="s">
        <v>214</v>
      </c>
    </row>
    <row r="20" spans="2:9">
      <c r="B20" s="136">
        <v>1</v>
      </c>
      <c r="C20" s="137" t="s">
        <v>199</v>
      </c>
      <c r="D20" s="138" t="s">
        <v>225</v>
      </c>
      <c r="E20" s="165">
        <v>1</v>
      </c>
      <c r="F20" s="229">
        <v>7.58</v>
      </c>
      <c r="G20" s="139">
        <f t="shared" ref="G20:G30" si="1">E20*F20</f>
        <v>7.58</v>
      </c>
      <c r="I20" s="107" t="s">
        <v>292</v>
      </c>
    </row>
    <row r="21" spans="2:9" ht="34.200000000000003">
      <c r="B21" s="155">
        <v>2</v>
      </c>
      <c r="C21" s="156" t="s">
        <v>226</v>
      </c>
      <c r="D21" s="157" t="s">
        <v>227</v>
      </c>
      <c r="E21" s="171">
        <v>4</v>
      </c>
      <c r="F21" s="230">
        <v>40.4</v>
      </c>
      <c r="G21" s="158">
        <f t="shared" si="1"/>
        <v>161.6</v>
      </c>
      <c r="I21" s="107" t="s">
        <v>292</v>
      </c>
    </row>
    <row r="22" spans="2:9" ht="45.6">
      <c r="B22" s="155">
        <v>3</v>
      </c>
      <c r="C22" s="156" t="s">
        <v>226</v>
      </c>
      <c r="D22" s="157" t="s">
        <v>228</v>
      </c>
      <c r="E22" s="171">
        <v>2</v>
      </c>
      <c r="F22" s="230">
        <v>67.319999999999993</v>
      </c>
      <c r="G22" s="158">
        <f t="shared" si="1"/>
        <v>134.63999999999999</v>
      </c>
      <c r="I22" s="107" t="s">
        <v>292</v>
      </c>
    </row>
    <row r="23" spans="2:9">
      <c r="B23" s="155">
        <v>4</v>
      </c>
      <c r="C23" s="156" t="s">
        <v>199</v>
      </c>
      <c r="D23" s="157" t="s">
        <v>229</v>
      </c>
      <c r="E23" s="171">
        <v>1</v>
      </c>
      <c r="F23" s="230">
        <v>20.36</v>
      </c>
      <c r="G23" s="158">
        <f t="shared" si="1"/>
        <v>20.36</v>
      </c>
      <c r="I23" s="107" t="s">
        <v>292</v>
      </c>
    </row>
    <row r="24" spans="2:9">
      <c r="B24" s="155">
        <v>5</v>
      </c>
      <c r="C24" s="156" t="s">
        <v>226</v>
      </c>
      <c r="D24" s="157" t="s">
        <v>230</v>
      </c>
      <c r="E24" s="171">
        <v>75</v>
      </c>
      <c r="F24" s="230">
        <v>10.07</v>
      </c>
      <c r="G24" s="158">
        <f t="shared" si="1"/>
        <v>755.25</v>
      </c>
      <c r="I24" s="107" t="s">
        <v>294</v>
      </c>
    </row>
    <row r="25" spans="2:9">
      <c r="B25" s="155">
        <v>6</v>
      </c>
      <c r="C25" s="156" t="s">
        <v>226</v>
      </c>
      <c r="D25" s="157" t="s">
        <v>231</v>
      </c>
      <c r="E25" s="171">
        <v>20</v>
      </c>
      <c r="F25" s="230">
        <v>34.5</v>
      </c>
      <c r="G25" s="158">
        <f t="shared" si="1"/>
        <v>690</v>
      </c>
      <c r="I25" s="107" t="s">
        <v>294</v>
      </c>
    </row>
    <row r="26" spans="2:9" ht="22.8">
      <c r="B26" s="155">
        <v>7</v>
      </c>
      <c r="C26" s="156" t="s">
        <v>199</v>
      </c>
      <c r="D26" s="157" t="s">
        <v>232</v>
      </c>
      <c r="E26" s="171">
        <v>12</v>
      </c>
      <c r="F26" s="230">
        <v>2.11</v>
      </c>
      <c r="G26" s="158">
        <f t="shared" si="1"/>
        <v>25.32</v>
      </c>
      <c r="I26" s="107" t="s">
        <v>292</v>
      </c>
    </row>
    <row r="27" spans="2:9" ht="22.8">
      <c r="B27" s="155">
        <v>8</v>
      </c>
      <c r="C27" s="156" t="s">
        <v>199</v>
      </c>
      <c r="D27" s="157" t="s">
        <v>233</v>
      </c>
      <c r="E27" s="171">
        <v>2</v>
      </c>
      <c r="F27" s="230">
        <v>5.25</v>
      </c>
      <c r="G27" s="158">
        <f t="shared" si="1"/>
        <v>10.5</v>
      </c>
      <c r="I27" s="107" t="s">
        <v>292</v>
      </c>
    </row>
    <row r="28" spans="2:9">
      <c r="B28" s="155">
        <v>9</v>
      </c>
      <c r="C28" s="156" t="s">
        <v>199</v>
      </c>
      <c r="D28" s="157" t="s">
        <v>234</v>
      </c>
      <c r="E28" s="171">
        <v>3</v>
      </c>
      <c r="F28" s="230">
        <v>17.940000000000001</v>
      </c>
      <c r="G28" s="158">
        <f t="shared" si="1"/>
        <v>53.820000000000007</v>
      </c>
      <c r="I28" s="107" t="s">
        <v>292</v>
      </c>
    </row>
    <row r="29" spans="2:9">
      <c r="B29" s="155">
        <v>10</v>
      </c>
      <c r="C29" s="156" t="s">
        <v>226</v>
      </c>
      <c r="D29" s="157" t="s">
        <v>235</v>
      </c>
      <c r="E29" s="171">
        <v>2</v>
      </c>
      <c r="F29" s="230">
        <v>1.1499999999999999</v>
      </c>
      <c r="G29" s="158">
        <f t="shared" si="1"/>
        <v>2.2999999999999998</v>
      </c>
      <c r="I29" s="107" t="s">
        <v>292</v>
      </c>
    </row>
    <row r="30" spans="2:9" ht="193.8">
      <c r="B30" s="140">
        <v>11</v>
      </c>
      <c r="C30" s="141" t="s">
        <v>236</v>
      </c>
      <c r="D30" s="142" t="s">
        <v>237</v>
      </c>
      <c r="E30" s="168">
        <v>2</v>
      </c>
      <c r="F30" s="231">
        <v>10.37</v>
      </c>
      <c r="G30" s="143">
        <f t="shared" si="1"/>
        <v>20.74</v>
      </c>
      <c r="I30" s="107" t="s">
        <v>292</v>
      </c>
    </row>
    <row r="31" spans="2:9" ht="12">
      <c r="B31" s="144"/>
      <c r="C31" s="112"/>
      <c r="D31" s="145" t="s">
        <v>223</v>
      </c>
      <c r="E31" s="116"/>
      <c r="F31" s="146"/>
      <c r="G31" s="147">
        <f>SUM(G20:G30)</f>
        <v>1882.11</v>
      </c>
    </row>
    <row r="32" spans="2:9" ht="12">
      <c r="B32" s="132"/>
      <c r="C32" s="124"/>
      <c r="D32" s="148" t="s">
        <v>206</v>
      </c>
      <c r="E32" s="126">
        <v>12</v>
      </c>
      <c r="F32" s="149" t="s">
        <v>224</v>
      </c>
      <c r="G32" s="133">
        <f>G31/E32</f>
        <v>156.8425</v>
      </c>
    </row>
    <row r="33" spans="4:4">
      <c r="D33" s="134"/>
    </row>
    <row r="34" spans="4:4">
      <c r="D34" s="134"/>
    </row>
  </sheetData>
  <printOptions horizontalCentered="1"/>
  <pageMargins left="0.51181102362204722" right="0.51181102362204722" top="0.78740157480314965" bottom="0.78740157480314965" header="0" footer="0"/>
  <pageSetup paperSize="9" orientation="portrait" r:id="rId1"/>
  <headerFooter>
    <oddHeader>&amp;R &amp;F &amp;A</oddHeader>
    <oddFooter>&amp;C&amp;P/&amp;RGestão Formal de Contratos (visto)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/>
    <pageSetUpPr fitToPage="1"/>
  </sheetPr>
  <dimension ref="B2:I42"/>
  <sheetViews>
    <sheetView topLeftCell="A31" workbookViewId="0">
      <selection activeCell="D35" sqref="D35"/>
    </sheetView>
  </sheetViews>
  <sheetFormatPr defaultColWidth="14.44140625" defaultRowHeight="11.4"/>
  <cols>
    <col min="1" max="1" width="5.44140625" style="107" customWidth="1"/>
    <col min="2" max="2" width="4" style="107" customWidth="1"/>
    <col min="3" max="3" width="8.77734375" style="107" customWidth="1"/>
    <col min="4" max="4" width="44.5546875" style="107" customWidth="1"/>
    <col min="5" max="5" width="5.6640625" style="107" customWidth="1"/>
    <col min="6" max="6" width="12" style="107" customWidth="1"/>
    <col min="7" max="7" width="12.88671875" style="107" customWidth="1"/>
    <col min="8" max="8" width="14.44140625" style="107"/>
    <col min="9" max="9" width="14.44140625" style="107" hidden="1" customWidth="1"/>
    <col min="10" max="16384" width="14.44140625" style="107"/>
  </cols>
  <sheetData>
    <row r="2" spans="2:9" ht="12">
      <c r="B2" s="114" t="s">
        <v>121</v>
      </c>
    </row>
    <row r="3" spans="2:9">
      <c r="B3" s="134"/>
      <c r="C3" s="134"/>
      <c r="D3" s="134"/>
      <c r="F3" s="175"/>
      <c r="G3" s="176"/>
    </row>
    <row r="4" spans="2:9" ht="24">
      <c r="B4" s="177" t="s">
        <v>19</v>
      </c>
      <c r="C4" s="177" t="s">
        <v>199</v>
      </c>
      <c r="D4" s="178" t="s">
        <v>194</v>
      </c>
      <c r="E4" s="177" t="s">
        <v>213</v>
      </c>
      <c r="F4" s="179" t="s">
        <v>196</v>
      </c>
      <c r="G4" s="179" t="s">
        <v>238</v>
      </c>
    </row>
    <row r="5" spans="2:9" ht="46.2">
      <c r="B5" s="180">
        <v>1</v>
      </c>
      <c r="C5" s="181" t="s">
        <v>239</v>
      </c>
      <c r="D5" s="182" t="s">
        <v>303</v>
      </c>
      <c r="E5" s="232">
        <v>60</v>
      </c>
      <c r="F5" s="233">
        <v>11.74</v>
      </c>
      <c r="G5" s="183">
        <f t="shared" ref="G5:G37" si="0">E5*F5</f>
        <v>704.4</v>
      </c>
      <c r="I5" s="107" t="s">
        <v>292</v>
      </c>
    </row>
    <row r="6" spans="2:9" ht="23.4">
      <c r="B6" s="155">
        <v>2</v>
      </c>
      <c r="C6" s="156" t="s">
        <v>239</v>
      </c>
      <c r="D6" s="157" t="s">
        <v>304</v>
      </c>
      <c r="E6" s="234">
        <v>144</v>
      </c>
      <c r="F6" s="230">
        <v>40.950000000000003</v>
      </c>
      <c r="G6" s="158">
        <f t="shared" si="0"/>
        <v>5896.8</v>
      </c>
      <c r="I6" s="107" t="s">
        <v>294</v>
      </c>
    </row>
    <row r="7" spans="2:9" ht="12">
      <c r="B7" s="155">
        <v>3</v>
      </c>
      <c r="C7" s="156" t="s">
        <v>240</v>
      </c>
      <c r="D7" s="157" t="s">
        <v>305</v>
      </c>
      <c r="E7" s="171">
        <v>300</v>
      </c>
      <c r="F7" s="230">
        <v>11.1</v>
      </c>
      <c r="G7" s="158">
        <f t="shared" si="0"/>
        <v>3330</v>
      </c>
      <c r="I7" s="107" t="s">
        <v>294</v>
      </c>
    </row>
    <row r="8" spans="2:9" ht="23.4">
      <c r="B8" s="155">
        <v>4</v>
      </c>
      <c r="C8" s="156" t="s">
        <v>240</v>
      </c>
      <c r="D8" s="157" t="s">
        <v>306</v>
      </c>
      <c r="E8" s="171">
        <v>30</v>
      </c>
      <c r="F8" s="230">
        <v>11.14</v>
      </c>
      <c r="G8" s="158">
        <f t="shared" si="0"/>
        <v>334.20000000000005</v>
      </c>
      <c r="I8" s="107" t="s">
        <v>294</v>
      </c>
    </row>
    <row r="9" spans="2:9" ht="23.4">
      <c r="B9" s="155">
        <v>5</v>
      </c>
      <c r="C9" s="156" t="s">
        <v>239</v>
      </c>
      <c r="D9" s="157" t="s">
        <v>307</v>
      </c>
      <c r="E9" s="171">
        <v>66</v>
      </c>
      <c r="F9" s="230">
        <v>16.46</v>
      </c>
      <c r="G9" s="158">
        <f t="shared" si="0"/>
        <v>1086.3600000000001</v>
      </c>
      <c r="I9" s="107" t="s">
        <v>292</v>
      </c>
    </row>
    <row r="10" spans="2:9" ht="34.200000000000003">
      <c r="B10" s="155">
        <v>6</v>
      </c>
      <c r="C10" s="156" t="s">
        <v>241</v>
      </c>
      <c r="D10" s="157" t="s">
        <v>308</v>
      </c>
      <c r="E10" s="171">
        <v>204</v>
      </c>
      <c r="F10" s="230">
        <v>11.67</v>
      </c>
      <c r="G10" s="158">
        <f t="shared" si="0"/>
        <v>2380.6799999999998</v>
      </c>
      <c r="I10" s="107" t="s">
        <v>292</v>
      </c>
    </row>
    <row r="11" spans="2:9" ht="80.400000000000006">
      <c r="B11" s="155">
        <v>7</v>
      </c>
      <c r="C11" s="156" t="s">
        <v>239</v>
      </c>
      <c r="D11" s="157" t="s">
        <v>309</v>
      </c>
      <c r="E11" s="171">
        <v>24</v>
      </c>
      <c r="F11" s="230">
        <v>40.950000000000003</v>
      </c>
      <c r="G11" s="158">
        <f t="shared" si="0"/>
        <v>982.80000000000007</v>
      </c>
      <c r="I11" s="107" t="s">
        <v>294</v>
      </c>
    </row>
    <row r="12" spans="2:9" ht="34.799999999999997">
      <c r="B12" s="155">
        <v>8</v>
      </c>
      <c r="C12" s="156" t="s">
        <v>239</v>
      </c>
      <c r="D12" s="157" t="s">
        <v>310</v>
      </c>
      <c r="E12" s="234">
        <v>96</v>
      </c>
      <c r="F12" s="230">
        <v>11.1</v>
      </c>
      <c r="G12" s="158">
        <f t="shared" si="0"/>
        <v>1065.5999999999999</v>
      </c>
      <c r="I12" s="107" t="s">
        <v>294</v>
      </c>
    </row>
    <row r="13" spans="2:9" ht="22.8">
      <c r="B13" s="155">
        <v>9</v>
      </c>
      <c r="C13" s="156" t="s">
        <v>242</v>
      </c>
      <c r="D13" s="391" t="s">
        <v>349</v>
      </c>
      <c r="E13" s="234">
        <v>144</v>
      </c>
      <c r="F13" s="230">
        <v>2.13</v>
      </c>
      <c r="G13" s="158">
        <f t="shared" si="0"/>
        <v>306.71999999999997</v>
      </c>
      <c r="I13" s="107" t="s">
        <v>292</v>
      </c>
    </row>
    <row r="14" spans="2:9" ht="57.6">
      <c r="B14" s="155">
        <v>10</v>
      </c>
      <c r="C14" s="156" t="s">
        <v>199</v>
      </c>
      <c r="D14" s="157" t="s">
        <v>311</v>
      </c>
      <c r="E14" s="171">
        <v>18</v>
      </c>
      <c r="F14" s="230">
        <v>1.69</v>
      </c>
      <c r="G14" s="158">
        <f t="shared" si="0"/>
        <v>30.419999999999998</v>
      </c>
      <c r="I14" s="107" t="s">
        <v>292</v>
      </c>
    </row>
    <row r="15" spans="2:9" ht="23.4">
      <c r="B15" s="155">
        <v>11</v>
      </c>
      <c r="C15" s="156" t="s">
        <v>199</v>
      </c>
      <c r="D15" s="391" t="s">
        <v>350</v>
      </c>
      <c r="E15" s="171">
        <v>36</v>
      </c>
      <c r="F15" s="230">
        <v>2.65</v>
      </c>
      <c r="G15" s="158">
        <f t="shared" si="0"/>
        <v>95.399999999999991</v>
      </c>
      <c r="I15" s="107" t="s">
        <v>292</v>
      </c>
    </row>
    <row r="16" spans="2:9" ht="46.2">
      <c r="B16" s="155">
        <v>12</v>
      </c>
      <c r="C16" s="156" t="s">
        <v>199</v>
      </c>
      <c r="D16" s="157" t="s">
        <v>312</v>
      </c>
      <c r="E16" s="171">
        <v>144</v>
      </c>
      <c r="F16" s="230">
        <v>0.86</v>
      </c>
      <c r="G16" s="158">
        <f t="shared" si="0"/>
        <v>123.84</v>
      </c>
      <c r="I16" s="107" t="s">
        <v>292</v>
      </c>
    </row>
    <row r="17" spans="2:9" ht="23.4">
      <c r="B17" s="155">
        <v>13</v>
      </c>
      <c r="C17" s="156" t="s">
        <v>199</v>
      </c>
      <c r="D17" s="157" t="s">
        <v>313</v>
      </c>
      <c r="E17" s="171">
        <v>288</v>
      </c>
      <c r="F17" s="230">
        <v>3.36</v>
      </c>
      <c r="G17" s="158">
        <f t="shared" si="0"/>
        <v>967.68</v>
      </c>
      <c r="I17" s="107" t="s">
        <v>292</v>
      </c>
    </row>
    <row r="18" spans="2:9" ht="34.799999999999997">
      <c r="B18" s="155">
        <v>14</v>
      </c>
      <c r="C18" s="156" t="s">
        <v>243</v>
      </c>
      <c r="D18" s="157" t="s">
        <v>314</v>
      </c>
      <c r="E18" s="171">
        <v>240</v>
      </c>
      <c r="F18" s="230">
        <v>12.85</v>
      </c>
      <c r="G18" s="158">
        <f t="shared" si="0"/>
        <v>3084</v>
      </c>
      <c r="I18" s="107" t="s">
        <v>294</v>
      </c>
    </row>
    <row r="19" spans="2:9" ht="22.8">
      <c r="B19" s="155">
        <v>15</v>
      </c>
      <c r="C19" s="156" t="s">
        <v>244</v>
      </c>
      <c r="D19" s="157" t="s">
        <v>315</v>
      </c>
      <c r="E19" s="171">
        <v>24</v>
      </c>
      <c r="F19" s="230">
        <v>133.65</v>
      </c>
      <c r="G19" s="158">
        <f t="shared" si="0"/>
        <v>3207.6000000000004</v>
      </c>
      <c r="I19" s="107" t="s">
        <v>294</v>
      </c>
    </row>
    <row r="20" spans="2:9" ht="46.2">
      <c r="B20" s="155">
        <v>16</v>
      </c>
      <c r="C20" s="156" t="s">
        <v>243</v>
      </c>
      <c r="D20" s="157" t="s">
        <v>316</v>
      </c>
      <c r="E20" s="171">
        <v>60</v>
      </c>
      <c r="F20" s="230">
        <v>4.8099999999999996</v>
      </c>
      <c r="G20" s="158">
        <f t="shared" si="0"/>
        <v>288.59999999999997</v>
      </c>
      <c r="I20" s="107" t="s">
        <v>292</v>
      </c>
    </row>
    <row r="21" spans="2:9" ht="34.799999999999997">
      <c r="B21" s="155">
        <v>17</v>
      </c>
      <c r="C21" s="156" t="s">
        <v>245</v>
      </c>
      <c r="D21" s="391" t="s">
        <v>351</v>
      </c>
      <c r="E21" s="171">
        <v>60</v>
      </c>
      <c r="F21" s="230">
        <v>4.57</v>
      </c>
      <c r="G21" s="158">
        <f t="shared" si="0"/>
        <v>274.20000000000005</v>
      </c>
      <c r="I21" s="107" t="s">
        <v>292</v>
      </c>
    </row>
    <row r="22" spans="2:9" ht="12">
      <c r="B22" s="155">
        <v>18</v>
      </c>
      <c r="C22" s="156" t="s">
        <v>199</v>
      </c>
      <c r="D22" s="157" t="s">
        <v>317</v>
      </c>
      <c r="E22" s="171">
        <v>4</v>
      </c>
      <c r="F22" s="230">
        <v>136</v>
      </c>
      <c r="G22" s="158">
        <f t="shared" si="0"/>
        <v>544</v>
      </c>
      <c r="I22" s="107" t="s">
        <v>292</v>
      </c>
    </row>
    <row r="23" spans="2:9" ht="34.200000000000003">
      <c r="B23" s="155">
        <v>19</v>
      </c>
      <c r="C23" s="156" t="s">
        <v>246</v>
      </c>
      <c r="D23" s="157" t="s">
        <v>318</v>
      </c>
      <c r="E23" s="234">
        <v>10</v>
      </c>
      <c r="F23" s="230">
        <v>2.66</v>
      </c>
      <c r="G23" s="158">
        <f t="shared" si="0"/>
        <v>26.6</v>
      </c>
      <c r="I23" s="107" t="s">
        <v>292</v>
      </c>
    </row>
    <row r="24" spans="2:9" ht="34.799999999999997">
      <c r="B24" s="155">
        <v>20</v>
      </c>
      <c r="C24" s="156" t="s">
        <v>247</v>
      </c>
      <c r="D24" s="157" t="s">
        <v>319</v>
      </c>
      <c r="E24" s="234">
        <v>1000</v>
      </c>
      <c r="F24" s="230">
        <v>2.7</v>
      </c>
      <c r="G24" s="158">
        <f t="shared" si="0"/>
        <v>2700</v>
      </c>
      <c r="I24" s="107" t="s">
        <v>292</v>
      </c>
    </row>
    <row r="25" spans="2:9" ht="57.6">
      <c r="B25" s="155">
        <v>21</v>
      </c>
      <c r="C25" s="156" t="s">
        <v>248</v>
      </c>
      <c r="D25" s="174" t="s">
        <v>352</v>
      </c>
      <c r="E25" s="171">
        <v>420</v>
      </c>
      <c r="F25" s="230">
        <v>9.1300000000000008</v>
      </c>
      <c r="G25" s="158">
        <f t="shared" si="0"/>
        <v>3834.6000000000004</v>
      </c>
      <c r="I25" s="107" t="s">
        <v>292</v>
      </c>
    </row>
    <row r="26" spans="2:9" ht="34.200000000000003">
      <c r="B26" s="155">
        <v>22</v>
      </c>
      <c r="C26" s="156" t="s">
        <v>249</v>
      </c>
      <c r="D26" s="157" t="s">
        <v>320</v>
      </c>
      <c r="E26" s="234">
        <v>360</v>
      </c>
      <c r="F26" s="230">
        <v>6.96</v>
      </c>
      <c r="G26" s="158">
        <f t="shared" si="0"/>
        <v>2505.6</v>
      </c>
      <c r="I26" s="107" t="s">
        <v>292</v>
      </c>
    </row>
    <row r="27" spans="2:9" ht="34.200000000000003">
      <c r="B27" s="155">
        <v>23</v>
      </c>
      <c r="C27" s="156" t="s">
        <v>250</v>
      </c>
      <c r="D27" s="391" t="s">
        <v>353</v>
      </c>
      <c r="E27" s="234">
        <v>12</v>
      </c>
      <c r="F27" s="230">
        <v>4.17</v>
      </c>
      <c r="G27" s="158">
        <f t="shared" si="0"/>
        <v>50.04</v>
      </c>
      <c r="I27" s="107" t="s">
        <v>292</v>
      </c>
    </row>
    <row r="28" spans="2:9" ht="12">
      <c r="B28" s="155">
        <v>24</v>
      </c>
      <c r="C28" s="156" t="s">
        <v>240</v>
      </c>
      <c r="D28" s="157" t="s">
        <v>321</v>
      </c>
      <c r="E28" s="171">
        <v>2</v>
      </c>
      <c r="F28" s="230">
        <v>16.829999999999998</v>
      </c>
      <c r="G28" s="158">
        <f t="shared" si="0"/>
        <v>33.659999999999997</v>
      </c>
      <c r="I28" s="107" t="s">
        <v>292</v>
      </c>
    </row>
    <row r="29" spans="2:9" ht="23.4">
      <c r="B29" s="155">
        <v>25</v>
      </c>
      <c r="C29" s="156" t="s">
        <v>199</v>
      </c>
      <c r="D29" s="157" t="s">
        <v>322</v>
      </c>
      <c r="E29" s="171">
        <v>72</v>
      </c>
      <c r="F29" s="230">
        <v>5.4</v>
      </c>
      <c r="G29" s="158">
        <f t="shared" si="0"/>
        <v>388.8</v>
      </c>
      <c r="I29" s="107" t="s">
        <v>292</v>
      </c>
    </row>
    <row r="30" spans="2:9" ht="23.4">
      <c r="B30" s="155">
        <v>26</v>
      </c>
      <c r="C30" s="156" t="s">
        <v>251</v>
      </c>
      <c r="D30" s="157" t="s">
        <v>323</v>
      </c>
      <c r="E30" s="171">
        <v>36</v>
      </c>
      <c r="F30" s="230">
        <v>6.58</v>
      </c>
      <c r="G30" s="158">
        <f t="shared" si="0"/>
        <v>236.88</v>
      </c>
      <c r="I30" s="107" t="s">
        <v>292</v>
      </c>
    </row>
    <row r="31" spans="2:9" ht="22.8">
      <c r="B31" s="155">
        <v>27</v>
      </c>
      <c r="C31" s="156" t="s">
        <v>244</v>
      </c>
      <c r="D31" s="157" t="s">
        <v>324</v>
      </c>
      <c r="E31" s="171">
        <v>72</v>
      </c>
      <c r="F31" s="230">
        <v>22.25</v>
      </c>
      <c r="G31" s="158">
        <f t="shared" si="0"/>
        <v>1602</v>
      </c>
      <c r="I31" s="107" t="s">
        <v>292</v>
      </c>
    </row>
    <row r="32" spans="2:9" ht="23.4">
      <c r="B32" s="155">
        <v>28</v>
      </c>
      <c r="C32" s="156" t="s">
        <v>199</v>
      </c>
      <c r="D32" s="157" t="s">
        <v>325</v>
      </c>
      <c r="E32" s="234">
        <v>400</v>
      </c>
      <c r="F32" s="230">
        <v>11.04</v>
      </c>
      <c r="G32" s="158">
        <f t="shared" si="0"/>
        <v>4416</v>
      </c>
      <c r="I32" s="107" t="s">
        <v>292</v>
      </c>
    </row>
    <row r="33" spans="2:9" ht="46.2">
      <c r="B33" s="155">
        <v>29</v>
      </c>
      <c r="C33" s="156" t="s">
        <v>252</v>
      </c>
      <c r="D33" s="157" t="s">
        <v>326</v>
      </c>
      <c r="E33" s="171">
        <v>75</v>
      </c>
      <c r="F33" s="230">
        <v>45.1</v>
      </c>
      <c r="G33" s="158">
        <f t="shared" si="0"/>
        <v>3382.5</v>
      </c>
      <c r="I33" s="107" t="s">
        <v>292</v>
      </c>
    </row>
    <row r="34" spans="2:9" ht="36">
      <c r="B34" s="155">
        <v>30</v>
      </c>
      <c r="C34" s="156" t="s">
        <v>252</v>
      </c>
      <c r="D34" s="174" t="s">
        <v>354</v>
      </c>
      <c r="E34" s="171">
        <v>72</v>
      </c>
      <c r="F34" s="230">
        <v>17.690000000000001</v>
      </c>
      <c r="G34" s="158">
        <f t="shared" si="0"/>
        <v>1273.68</v>
      </c>
      <c r="I34" s="107" t="s">
        <v>292</v>
      </c>
    </row>
    <row r="35" spans="2:9" ht="34.799999999999997">
      <c r="B35" s="155">
        <v>31</v>
      </c>
      <c r="C35" s="156" t="s">
        <v>252</v>
      </c>
      <c r="D35" s="157" t="s">
        <v>327</v>
      </c>
      <c r="E35" s="171">
        <v>72</v>
      </c>
      <c r="F35" s="230">
        <v>9.44</v>
      </c>
      <c r="G35" s="158">
        <f t="shared" si="0"/>
        <v>679.68</v>
      </c>
      <c r="I35" s="107" t="s">
        <v>292</v>
      </c>
    </row>
    <row r="36" spans="2:9" ht="34.799999999999997">
      <c r="B36" s="155">
        <v>32</v>
      </c>
      <c r="C36" s="156" t="s">
        <v>252</v>
      </c>
      <c r="D36" s="391" t="s">
        <v>355</v>
      </c>
      <c r="E36" s="171">
        <v>72</v>
      </c>
      <c r="F36" s="230">
        <v>14.61</v>
      </c>
      <c r="G36" s="158">
        <f t="shared" si="0"/>
        <v>1051.92</v>
      </c>
      <c r="I36" s="107" t="s">
        <v>292</v>
      </c>
    </row>
    <row r="37" spans="2:9" ht="34.200000000000003">
      <c r="B37" s="180">
        <v>33</v>
      </c>
      <c r="C37" s="181" t="s">
        <v>253</v>
      </c>
      <c r="D37" s="182" t="s">
        <v>328</v>
      </c>
      <c r="E37" s="235">
        <v>72</v>
      </c>
      <c r="F37" s="233">
        <v>4.8</v>
      </c>
      <c r="G37" s="183">
        <f t="shared" si="0"/>
        <v>345.59999999999997</v>
      </c>
      <c r="I37" s="107" t="s">
        <v>292</v>
      </c>
    </row>
    <row r="38" spans="2:9" ht="12">
      <c r="B38" s="120"/>
      <c r="C38" s="184"/>
      <c r="D38" s="120" t="s">
        <v>223</v>
      </c>
      <c r="E38" s="184"/>
      <c r="F38" s="185"/>
      <c r="G38" s="186">
        <f>SUM(G5:G37)</f>
        <v>47230.86</v>
      </c>
    </row>
    <row r="39" spans="2:9" ht="12">
      <c r="B39" s="120"/>
      <c r="C39" s="184"/>
      <c r="D39" s="120" t="s">
        <v>206</v>
      </c>
      <c r="E39" s="187">
        <v>12</v>
      </c>
      <c r="F39" s="185" t="s">
        <v>224</v>
      </c>
      <c r="G39" s="186">
        <f t="shared" ref="G39:G40" si="1">G38/E39</f>
        <v>3935.9050000000002</v>
      </c>
    </row>
    <row r="40" spans="2:9" ht="12">
      <c r="B40" s="120"/>
      <c r="C40" s="184"/>
      <c r="D40" s="120" t="s">
        <v>207</v>
      </c>
      <c r="E40" s="187">
        <f>'Cálculo custoM²'!I72</f>
        <v>3</v>
      </c>
      <c r="F40" s="185" t="s">
        <v>208</v>
      </c>
      <c r="G40" s="186">
        <f t="shared" si="1"/>
        <v>1311.9683333333335</v>
      </c>
    </row>
    <row r="41" spans="2:9">
      <c r="B41" s="134"/>
      <c r="C41" s="134"/>
    </row>
    <row r="42" spans="2:9">
      <c r="B42" s="134"/>
      <c r="C42" s="134"/>
    </row>
  </sheetData>
  <printOptions horizontalCentered="1"/>
  <pageMargins left="0.51181102362204722" right="0.51181102362204722" top="0.78740157480314965" bottom="0.78740157480314965" header="0" footer="0"/>
  <pageSetup paperSize="9" fitToHeight="0" orientation="portrait" r:id="rId1"/>
  <headerFooter>
    <oddHeader>&amp;R &amp;F &amp;A</oddHeader>
    <oddFooter>&amp;C&amp;P/&amp;RGestão Formal de Contratos (visto)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/>
  </sheetPr>
  <dimension ref="B2:I28"/>
  <sheetViews>
    <sheetView topLeftCell="A16" workbookViewId="0">
      <selection activeCell="D24" sqref="D24"/>
    </sheetView>
  </sheetViews>
  <sheetFormatPr defaultColWidth="14.44140625" defaultRowHeight="11.4"/>
  <cols>
    <col min="1" max="1" width="1.5546875" style="107" customWidth="1"/>
    <col min="2" max="3" width="7.5546875" style="107" customWidth="1"/>
    <col min="4" max="4" width="46.88671875" style="107" customWidth="1"/>
    <col min="5" max="5" width="7.5546875" style="107" customWidth="1"/>
    <col min="6" max="6" width="10.88671875" style="107" customWidth="1"/>
    <col min="7" max="7" width="11.21875" style="107" customWidth="1"/>
    <col min="8" max="8" width="14.44140625" style="107"/>
    <col min="9" max="9" width="14.44140625" style="107" hidden="1" customWidth="1"/>
    <col min="10" max="16384" width="14.44140625" style="107"/>
  </cols>
  <sheetData>
    <row r="2" spans="2:9" ht="12">
      <c r="B2" s="114" t="s">
        <v>123</v>
      </c>
    </row>
    <row r="3" spans="2:9">
      <c r="B3" s="134"/>
      <c r="C3" s="134"/>
    </row>
    <row r="4" spans="2:9" ht="24">
      <c r="B4" s="189" t="s">
        <v>19</v>
      </c>
      <c r="C4" s="177" t="s">
        <v>193</v>
      </c>
      <c r="D4" s="178" t="s">
        <v>194</v>
      </c>
      <c r="E4" s="177" t="s">
        <v>213</v>
      </c>
      <c r="F4" s="179" t="s">
        <v>196</v>
      </c>
      <c r="G4" s="179" t="s">
        <v>214</v>
      </c>
    </row>
    <row r="5" spans="2:9" ht="34.799999999999997">
      <c r="B5" s="180">
        <v>1</v>
      </c>
      <c r="C5" s="181" t="s">
        <v>199</v>
      </c>
      <c r="D5" s="182" t="s">
        <v>329</v>
      </c>
      <c r="E5" s="235">
        <v>4</v>
      </c>
      <c r="F5" s="236">
        <v>8.77</v>
      </c>
      <c r="G5" s="188">
        <f t="shared" ref="G5:G23" si="0">E5*F5</f>
        <v>35.08</v>
      </c>
      <c r="I5" s="107" t="s">
        <v>292</v>
      </c>
    </row>
    <row r="6" spans="2:9" ht="24">
      <c r="B6" s="155">
        <v>2</v>
      </c>
      <c r="C6" s="156" t="s">
        <v>199</v>
      </c>
      <c r="D6" s="197" t="s">
        <v>293</v>
      </c>
      <c r="E6" s="171">
        <v>10</v>
      </c>
      <c r="F6" s="172">
        <v>3.95</v>
      </c>
      <c r="G6" s="198">
        <f t="shared" si="0"/>
        <v>39.5</v>
      </c>
      <c r="I6" s="107" t="s">
        <v>292</v>
      </c>
    </row>
    <row r="7" spans="2:9" ht="34.799999999999997">
      <c r="B7" s="155">
        <v>3</v>
      </c>
      <c r="C7" s="156" t="s">
        <v>199</v>
      </c>
      <c r="D7" s="157" t="s">
        <v>330</v>
      </c>
      <c r="E7" s="171">
        <v>30</v>
      </c>
      <c r="F7" s="172">
        <v>37.11</v>
      </c>
      <c r="G7" s="198">
        <f t="shared" si="0"/>
        <v>1113.3</v>
      </c>
      <c r="I7" s="107" t="s">
        <v>292</v>
      </c>
    </row>
    <row r="8" spans="2:9">
      <c r="B8" s="155">
        <v>4</v>
      </c>
      <c r="C8" s="156" t="s">
        <v>199</v>
      </c>
      <c r="D8" s="157" t="s">
        <v>254</v>
      </c>
      <c r="E8" s="171">
        <v>8</v>
      </c>
      <c r="F8" s="172">
        <v>6</v>
      </c>
      <c r="G8" s="198">
        <f t="shared" si="0"/>
        <v>48</v>
      </c>
      <c r="I8" s="107" t="s">
        <v>292</v>
      </c>
    </row>
    <row r="9" spans="2:9" ht="23.4">
      <c r="B9" s="155">
        <v>5</v>
      </c>
      <c r="C9" s="156" t="s">
        <v>199</v>
      </c>
      <c r="D9" s="157" t="s">
        <v>331</v>
      </c>
      <c r="E9" s="171">
        <v>60</v>
      </c>
      <c r="F9" s="172">
        <v>2.19</v>
      </c>
      <c r="G9" s="198">
        <f t="shared" si="0"/>
        <v>131.4</v>
      </c>
      <c r="I9" s="107" t="s">
        <v>292</v>
      </c>
    </row>
    <row r="10" spans="2:9" ht="12">
      <c r="B10" s="155">
        <v>6</v>
      </c>
      <c r="C10" s="156" t="s">
        <v>199</v>
      </c>
      <c r="D10" s="157" t="s">
        <v>332</v>
      </c>
      <c r="E10" s="171">
        <v>60</v>
      </c>
      <c r="F10" s="172">
        <v>10.029999999999999</v>
      </c>
      <c r="G10" s="198">
        <f t="shared" si="0"/>
        <v>601.79999999999995</v>
      </c>
      <c r="I10" s="107" t="s">
        <v>294</v>
      </c>
    </row>
    <row r="11" spans="2:9" ht="23.4">
      <c r="B11" s="155">
        <v>7</v>
      </c>
      <c r="C11" s="156" t="s">
        <v>199</v>
      </c>
      <c r="D11" s="157" t="s">
        <v>333</v>
      </c>
      <c r="E11" s="171">
        <v>4</v>
      </c>
      <c r="F11" s="172">
        <v>21.24</v>
      </c>
      <c r="G11" s="198">
        <f t="shared" si="0"/>
        <v>84.96</v>
      </c>
      <c r="I11" s="107" t="s">
        <v>292</v>
      </c>
    </row>
    <row r="12" spans="2:9" ht="12">
      <c r="B12" s="155">
        <v>8</v>
      </c>
      <c r="C12" s="156" t="s">
        <v>199</v>
      </c>
      <c r="D12" s="157" t="s">
        <v>334</v>
      </c>
      <c r="E12" s="171">
        <v>1</v>
      </c>
      <c r="F12" s="172">
        <v>408.73</v>
      </c>
      <c r="G12" s="198">
        <f t="shared" si="0"/>
        <v>408.73</v>
      </c>
      <c r="I12" s="107" t="s">
        <v>294</v>
      </c>
    </row>
    <row r="13" spans="2:9" ht="23.4">
      <c r="B13" s="155">
        <v>9</v>
      </c>
      <c r="C13" s="156" t="s">
        <v>199</v>
      </c>
      <c r="D13" s="157" t="s">
        <v>335</v>
      </c>
      <c r="E13" s="171">
        <v>2</v>
      </c>
      <c r="F13" s="172">
        <v>45.17</v>
      </c>
      <c r="G13" s="198">
        <f t="shared" si="0"/>
        <v>90.34</v>
      </c>
      <c r="I13" s="107" t="s">
        <v>292</v>
      </c>
    </row>
    <row r="14" spans="2:9" ht="69.599999999999994">
      <c r="B14" s="155">
        <v>10</v>
      </c>
      <c r="C14" s="156" t="s">
        <v>199</v>
      </c>
      <c r="D14" s="157" t="s">
        <v>336</v>
      </c>
      <c r="E14" s="171">
        <v>18</v>
      </c>
      <c r="F14" s="172">
        <v>21.73</v>
      </c>
      <c r="G14" s="198">
        <f t="shared" si="0"/>
        <v>391.14</v>
      </c>
      <c r="I14" s="107" t="s">
        <v>292</v>
      </c>
    </row>
    <row r="15" spans="2:9" ht="58.2">
      <c r="B15" s="155">
        <v>11</v>
      </c>
      <c r="C15" s="156" t="s">
        <v>199</v>
      </c>
      <c r="D15" s="157" t="s">
        <v>337</v>
      </c>
      <c r="E15" s="171">
        <v>18</v>
      </c>
      <c r="F15" s="172">
        <v>121.37</v>
      </c>
      <c r="G15" s="198">
        <f t="shared" si="0"/>
        <v>2184.66</v>
      </c>
      <c r="I15" s="107" t="s">
        <v>292</v>
      </c>
    </row>
    <row r="16" spans="2:9" ht="23.4">
      <c r="B16" s="155">
        <v>12</v>
      </c>
      <c r="C16" s="156" t="s">
        <v>199</v>
      </c>
      <c r="D16" s="157" t="s">
        <v>338</v>
      </c>
      <c r="E16" s="171">
        <v>1</v>
      </c>
      <c r="F16" s="172">
        <v>137.97</v>
      </c>
      <c r="G16" s="198">
        <f t="shared" si="0"/>
        <v>137.97</v>
      </c>
      <c r="I16" s="107" t="s">
        <v>292</v>
      </c>
    </row>
    <row r="17" spans="2:9" ht="34.799999999999997">
      <c r="B17" s="155">
        <v>13</v>
      </c>
      <c r="C17" s="156" t="s">
        <v>199</v>
      </c>
      <c r="D17" s="157" t="s">
        <v>339</v>
      </c>
      <c r="E17" s="171">
        <v>24</v>
      </c>
      <c r="F17" s="172">
        <v>21.04</v>
      </c>
      <c r="G17" s="198">
        <f t="shared" si="0"/>
        <v>504.96</v>
      </c>
      <c r="I17" s="107" t="s">
        <v>294</v>
      </c>
    </row>
    <row r="18" spans="2:9" ht="12">
      <c r="B18" s="155">
        <v>14</v>
      </c>
      <c r="C18" s="156" t="s">
        <v>199</v>
      </c>
      <c r="D18" s="157" t="s">
        <v>340</v>
      </c>
      <c r="E18" s="171">
        <v>30</v>
      </c>
      <c r="F18" s="172">
        <v>41.94</v>
      </c>
      <c r="G18" s="198">
        <f t="shared" si="0"/>
        <v>1258.1999999999998</v>
      </c>
      <c r="I18" s="107" t="s">
        <v>294</v>
      </c>
    </row>
    <row r="19" spans="2:9" ht="12">
      <c r="B19" s="155">
        <v>15</v>
      </c>
      <c r="C19" s="156" t="s">
        <v>199</v>
      </c>
      <c r="D19" s="157" t="s">
        <v>341</v>
      </c>
      <c r="E19" s="171">
        <v>6</v>
      </c>
      <c r="F19" s="172">
        <v>34.28</v>
      </c>
      <c r="G19" s="198">
        <f t="shared" si="0"/>
        <v>205.68</v>
      </c>
      <c r="I19" s="107" t="s">
        <v>292</v>
      </c>
    </row>
    <row r="20" spans="2:9" ht="34.799999999999997">
      <c r="B20" s="155">
        <v>16</v>
      </c>
      <c r="C20" s="156" t="s">
        <v>199</v>
      </c>
      <c r="D20" s="391" t="s">
        <v>356</v>
      </c>
      <c r="E20" s="171">
        <v>30</v>
      </c>
      <c r="F20" s="172">
        <v>13.6</v>
      </c>
      <c r="G20" s="198">
        <f t="shared" si="0"/>
        <v>408</v>
      </c>
      <c r="I20" s="107" t="s">
        <v>292</v>
      </c>
    </row>
    <row r="21" spans="2:9" ht="23.4">
      <c r="B21" s="155">
        <v>17</v>
      </c>
      <c r="C21" s="156" t="s">
        <v>199</v>
      </c>
      <c r="D21" s="391" t="s">
        <v>357</v>
      </c>
      <c r="E21" s="171">
        <v>2</v>
      </c>
      <c r="F21" s="172">
        <v>66.27</v>
      </c>
      <c r="G21" s="198">
        <f t="shared" si="0"/>
        <v>132.54</v>
      </c>
      <c r="I21" s="107" t="s">
        <v>292</v>
      </c>
    </row>
    <row r="22" spans="2:9" ht="103.2">
      <c r="B22" s="155">
        <v>18</v>
      </c>
      <c r="C22" s="156" t="s">
        <v>199</v>
      </c>
      <c r="D22" s="391" t="s">
        <v>358</v>
      </c>
      <c r="E22" s="171">
        <v>96</v>
      </c>
      <c r="F22" s="172">
        <v>15.77</v>
      </c>
      <c r="G22" s="198">
        <f t="shared" si="0"/>
        <v>1513.92</v>
      </c>
      <c r="I22" s="107" t="s">
        <v>292</v>
      </c>
    </row>
    <row r="23" spans="2:9" ht="12">
      <c r="B23" s="180">
        <v>19</v>
      </c>
      <c r="C23" s="181" t="s">
        <v>199</v>
      </c>
      <c r="D23" s="109" t="s">
        <v>359</v>
      </c>
      <c r="E23" s="235">
        <v>16</v>
      </c>
      <c r="F23" s="236">
        <v>16.899999999999999</v>
      </c>
      <c r="G23" s="188">
        <f t="shared" si="0"/>
        <v>270.39999999999998</v>
      </c>
      <c r="I23" s="107" t="s">
        <v>292</v>
      </c>
    </row>
    <row r="24" spans="2:9" ht="12">
      <c r="B24" s="190" t="s">
        <v>223</v>
      </c>
      <c r="C24" s="191"/>
      <c r="D24" s="191"/>
      <c r="E24" s="192"/>
      <c r="F24" s="193"/>
      <c r="G24" s="194">
        <f>SUM(G5:G23)</f>
        <v>9560.58</v>
      </c>
    </row>
    <row r="25" spans="2:9" ht="12">
      <c r="B25" s="379" t="s">
        <v>206</v>
      </c>
      <c r="C25" s="380"/>
      <c r="D25" s="380"/>
      <c r="E25" s="187">
        <v>12</v>
      </c>
      <c r="F25" s="187" t="s">
        <v>224</v>
      </c>
      <c r="G25" s="196">
        <f t="shared" ref="G25:G26" si="1">G24/E25</f>
        <v>796.71500000000003</v>
      </c>
    </row>
    <row r="26" spans="2:9" ht="12">
      <c r="B26" s="381" t="s">
        <v>207</v>
      </c>
      <c r="C26" s="382"/>
      <c r="D26" s="382"/>
      <c r="E26" s="195">
        <f>'Cálculo custoM²'!I72</f>
        <v>3</v>
      </c>
      <c r="F26" s="195" t="s">
        <v>208</v>
      </c>
      <c r="G26" s="127">
        <f t="shared" si="1"/>
        <v>265.57166666666666</v>
      </c>
    </row>
    <row r="27" spans="2:9">
      <c r="B27" s="134"/>
    </row>
    <row r="28" spans="2:9">
      <c r="B28" s="134"/>
    </row>
  </sheetData>
  <mergeCells count="2">
    <mergeCell ref="B25:D25"/>
    <mergeCell ref="B26:D26"/>
  </mergeCells>
  <printOptions horizontalCentered="1"/>
  <pageMargins left="0.51181102362204722" right="0.51181102362204722" top="0.78740157480314965" bottom="0.78740157480314965" header="0" footer="0"/>
  <pageSetup paperSize="9" orientation="portrait" r:id="rId1"/>
  <headerFooter>
    <oddHeader>&amp;R &amp;F &amp;A</oddHeader>
    <oddFooter>&amp;C&amp;P/&amp;RGestão Formal de Contratos (visto)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1"/>
  <sheetViews>
    <sheetView showGridLines="0" tabSelected="1" workbookViewId="0">
      <selection activeCell="I16" sqref="I16"/>
    </sheetView>
  </sheetViews>
  <sheetFormatPr defaultColWidth="14.44140625" defaultRowHeight="14.4"/>
  <cols>
    <col min="1" max="1" width="3.5546875" style="200" customWidth="1"/>
    <col min="2" max="2" width="27.88671875" style="200" customWidth="1"/>
    <col min="3" max="3" width="5.88671875" style="200" bestFit="1" customWidth="1"/>
    <col min="4" max="4" width="7.109375" style="200" bestFit="1" customWidth="1"/>
    <col min="5" max="5" width="8.21875" style="200" bestFit="1" customWidth="1"/>
    <col min="6" max="6" width="5.77734375" style="200" bestFit="1" customWidth="1"/>
    <col min="7" max="7" width="14.5546875" style="203" customWidth="1"/>
    <col min="8" max="8" width="28.33203125" style="200" customWidth="1"/>
    <col min="9" max="9" width="19.88671875" style="203" customWidth="1"/>
    <col min="10" max="10" width="5.5546875" style="200" customWidth="1"/>
    <col min="11" max="11" width="11.6640625" style="200" customWidth="1"/>
    <col min="12" max="12" width="41.6640625" style="200" customWidth="1"/>
    <col min="13" max="13" width="12.44140625" style="200" customWidth="1"/>
    <col min="14" max="14" width="14.33203125" style="200" customWidth="1"/>
    <col min="15" max="25" width="8.88671875" style="200" customWidth="1"/>
    <col min="26" max="16384" width="14.44140625" style="200"/>
  </cols>
  <sheetData>
    <row r="1" spans="1:14">
      <c r="A1" s="199"/>
      <c r="B1" s="383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4">
      <c r="A2" s="199"/>
      <c r="B2" s="204"/>
      <c r="C2" s="385" t="s">
        <v>255</v>
      </c>
      <c r="D2" s="386"/>
      <c r="E2" s="386"/>
      <c r="F2" s="387"/>
      <c r="G2" s="205"/>
      <c r="H2" s="204"/>
      <c r="I2" s="205"/>
    </row>
    <row r="3" spans="1:14" ht="43.2">
      <c r="A3" s="199"/>
      <c r="B3" s="206" t="s">
        <v>256</v>
      </c>
      <c r="C3" s="207" t="s">
        <v>257</v>
      </c>
      <c r="D3" s="207" t="s">
        <v>258</v>
      </c>
      <c r="E3" s="208" t="s">
        <v>259</v>
      </c>
      <c r="F3" s="208" t="s">
        <v>260</v>
      </c>
      <c r="G3" s="209" t="s">
        <v>261</v>
      </c>
      <c r="H3" s="207" t="s">
        <v>262</v>
      </c>
      <c r="I3" s="210" t="s">
        <v>263</v>
      </c>
      <c r="K3" s="201" t="s">
        <v>264</v>
      </c>
      <c r="L3" s="202" t="s">
        <v>265</v>
      </c>
      <c r="M3" s="202" t="s">
        <v>266</v>
      </c>
      <c r="N3" s="202" t="s">
        <v>267</v>
      </c>
    </row>
    <row r="4" spans="1:14" ht="28.8">
      <c r="B4" s="211" t="s">
        <v>256</v>
      </c>
      <c r="C4" s="212" t="s">
        <v>257</v>
      </c>
      <c r="D4" s="212" t="s">
        <v>258</v>
      </c>
      <c r="E4" s="212" t="s">
        <v>259</v>
      </c>
      <c r="F4" s="212" t="s">
        <v>260</v>
      </c>
      <c r="G4" s="213" t="s">
        <v>261</v>
      </c>
      <c r="H4" s="212" t="s">
        <v>342</v>
      </c>
      <c r="I4" s="214" t="s">
        <v>263</v>
      </c>
      <c r="K4" s="388" t="s">
        <v>268</v>
      </c>
      <c r="L4" s="215" t="s">
        <v>269</v>
      </c>
      <c r="M4" s="216">
        <f>SUMIFS(G4:G12,H4:H12,"Piso Acarpetado",F4:F12,"&gt;0")</f>
        <v>0</v>
      </c>
      <c r="N4" s="216">
        <f>SUMIFS(I4:I12,H4:H12,"Piso Acarpetado",F4:F12,"&gt;0")</f>
        <v>0</v>
      </c>
    </row>
    <row r="5" spans="1:14">
      <c r="B5" s="217" t="s">
        <v>270</v>
      </c>
      <c r="C5" s="218"/>
      <c r="D5" s="218"/>
      <c r="E5" s="219">
        <v>5</v>
      </c>
      <c r="F5" s="219">
        <v>2</v>
      </c>
      <c r="G5" s="220">
        <v>22.65</v>
      </c>
      <c r="H5" s="219" t="s">
        <v>271</v>
      </c>
      <c r="I5" s="221">
        <f t="shared" ref="I5:I9" si="0">IF(AND(C5=0,D5=0,E5=1),((E5/5)*F5)*G5,IF(AND(C5=0,D5=0,E5=2),((E5/5)*F5)*G5,IF(AND(C5=0,D5=0,E5=3),((E5/5)*F5)*G5,IF(AND(C5=0,D5=0,E5=4),((E5/5)*F5)*G5,IF(AND(C5=0,D5=0,E5=5),((E5/5)*F5)*G5,IF(AND(C5=1,D5=0,E5=0),(C5*G5*F5/12),IF(AND(C5=0,D5=1,E5=0),(((D5/4)/5)*F5)*G5,IF(AND(C5=0,D5=2,E5=0),(((D5/2)/5)*F5)*G5,IF(AND(C5=2,D5=0,E5=0),(C5*G5*F5/12),"condição não prevista")))))))))</f>
        <v>45.3</v>
      </c>
      <c r="K5" s="389"/>
      <c r="L5" s="215" t="s">
        <v>271</v>
      </c>
      <c r="M5" s="216">
        <f>SUMIFS(G4:G12,H4:H12,"Pisos frios",F4:F12,"&gt;0")</f>
        <v>1798.74</v>
      </c>
      <c r="N5" s="216">
        <f>SUMIFS(I4:I12,H4:H12,"Pisos frios",F4:F12,"&gt;0")</f>
        <v>1821.3899999999999</v>
      </c>
    </row>
    <row r="6" spans="1:14">
      <c r="B6" s="217" t="s">
        <v>272</v>
      </c>
      <c r="C6" s="218"/>
      <c r="D6" s="218"/>
      <c r="E6" s="219">
        <v>5</v>
      </c>
      <c r="F6" s="219">
        <v>1</v>
      </c>
      <c r="G6" s="220">
        <v>1776.09</v>
      </c>
      <c r="H6" s="219" t="s">
        <v>271</v>
      </c>
      <c r="I6" s="221">
        <f t="shared" si="0"/>
        <v>1776.09</v>
      </c>
      <c r="K6" s="389"/>
      <c r="L6" s="215" t="s">
        <v>155</v>
      </c>
      <c r="M6" s="216">
        <f>SUMIFS(G4:G12,H4:H12,"laboratórios",F4:F12,"&gt;0")</f>
        <v>0</v>
      </c>
      <c r="N6" s="216">
        <f>SUMIFS(I4:I12,H4:H12,"Laboratórios",F4:F12,"&gt;0")</f>
        <v>0</v>
      </c>
    </row>
    <row r="7" spans="1:14">
      <c r="B7" s="217" t="s">
        <v>159</v>
      </c>
      <c r="C7" s="218"/>
      <c r="D7" s="218"/>
      <c r="E7" s="219">
        <v>5</v>
      </c>
      <c r="F7" s="219">
        <v>2</v>
      </c>
      <c r="G7" s="220">
        <v>123.84</v>
      </c>
      <c r="H7" s="219" t="s">
        <v>159</v>
      </c>
      <c r="I7" s="221">
        <f t="shared" si="0"/>
        <v>247.68</v>
      </c>
      <c r="K7" s="389"/>
      <c r="L7" s="215" t="s">
        <v>273</v>
      </c>
      <c r="M7" s="216">
        <f>SUMIFS(G4:G12,H4:H12,"Almoxarifado",F4:F12,"&gt;0")</f>
        <v>0</v>
      </c>
      <c r="N7" s="216">
        <f>SUMIFS(I4:I12,H4:H12,"Almoxarifado",F4:F12,"&gt;0")</f>
        <v>0</v>
      </c>
    </row>
    <row r="8" spans="1:14">
      <c r="B8" s="217" t="s">
        <v>274</v>
      </c>
      <c r="C8" s="222">
        <v>1</v>
      </c>
      <c r="D8" s="218"/>
      <c r="E8" s="219"/>
      <c r="F8" s="223">
        <v>1</v>
      </c>
      <c r="G8" s="220">
        <v>139.44999999999999</v>
      </c>
      <c r="H8" s="219" t="s">
        <v>275</v>
      </c>
      <c r="I8" s="221">
        <f t="shared" si="0"/>
        <v>11.620833333333332</v>
      </c>
      <c r="K8" s="389"/>
      <c r="L8" s="215" t="s">
        <v>157</v>
      </c>
      <c r="M8" s="216">
        <f>SUMIFS(G4:G12,H4:H12,"Oficinas",F4:F12,"&gt;0")</f>
        <v>0</v>
      </c>
      <c r="N8" s="216">
        <f>SUMIFS(I4:I12,H4:H12,"Oficinas",F4:F12,"&gt;0")</f>
        <v>0</v>
      </c>
    </row>
    <row r="9" spans="1:14" ht="43.2">
      <c r="B9" s="217" t="s">
        <v>276</v>
      </c>
      <c r="C9" s="218"/>
      <c r="D9" s="218"/>
      <c r="E9" s="219">
        <v>5</v>
      </c>
      <c r="F9" s="219">
        <v>1</v>
      </c>
      <c r="G9" s="220">
        <v>1849.58</v>
      </c>
      <c r="H9" s="219" t="s">
        <v>181</v>
      </c>
      <c r="I9" s="221">
        <f t="shared" si="0"/>
        <v>1849.58</v>
      </c>
      <c r="K9" s="389"/>
      <c r="L9" s="215" t="s">
        <v>277</v>
      </c>
      <c r="M9" s="216">
        <f>SUMIFS(G4:G12,H4:H12,"Áreas com espaços livres",F4:F12,"&gt;0")</f>
        <v>0</v>
      </c>
      <c r="N9" s="216">
        <f>SUMIFS(I4:I12,H4:H12,"Áreas com espaços livres",F4:F12,"&gt;0")</f>
        <v>0</v>
      </c>
    </row>
    <row r="10" spans="1:14" ht="28.8">
      <c r="B10" s="217" t="s">
        <v>278</v>
      </c>
      <c r="C10" s="219">
        <v>1</v>
      </c>
      <c r="D10" s="218"/>
      <c r="E10" s="218"/>
      <c r="F10" s="219">
        <v>1</v>
      </c>
      <c r="G10" s="220">
        <v>368.44</v>
      </c>
      <c r="H10" s="219" t="s">
        <v>279</v>
      </c>
      <c r="I10" s="221">
        <f>IF(AND(C10=0,D10=0,E10=1),((E10/5)*F10)*G10,IF(AND(C10=0,D10=0,E10=2),((E10/5)*F10)*G10,IF(AND(C10=0,D10=0,E10=3),((E10/5)*F10)*G10,IF(AND(C10=0,D10=0,E10=4),((E10/5)*F10)*G10,IF(AND(C10=0,D10=0,E10=5),((E10/5)*F10)*G10,IF(AND(C10=1,D10=0,E10=0),(C10*G10*F10/12),IF(AND(C10=0,D10=1,E10=0),(((D10/4)/5)*F10)*G10,IF(AND(C10=0,D10=2,E10=0),(((D10/2)/5)*F10)*G10,IF(AND(C10=2,D10=0,E10=0),(C10*G10*F10/12),"condição não prevista")))))))))</f>
        <v>30.703333333333333</v>
      </c>
      <c r="K10" s="390"/>
      <c r="L10" s="215" t="s">
        <v>159</v>
      </c>
      <c r="M10" s="216">
        <f>SUMIFS(G4:G12,H4:H12,"Banheiros",F4:F12,"&gt;0")</f>
        <v>123.84</v>
      </c>
      <c r="N10" s="216">
        <f>SUMIFS(I4:I12,H4:H12,"Banheiros",F4:F12,"&gt;0")</f>
        <v>247.68</v>
      </c>
    </row>
    <row r="11" spans="1:14" ht="28.8">
      <c r="B11" s="217" t="s">
        <v>280</v>
      </c>
      <c r="C11" s="219">
        <v>1</v>
      </c>
      <c r="D11" s="218"/>
      <c r="E11" s="218"/>
      <c r="F11" s="219">
        <v>1</v>
      </c>
      <c r="G11" s="220">
        <v>303.72000000000003</v>
      </c>
      <c r="H11" s="219" t="s">
        <v>281</v>
      </c>
      <c r="I11" s="221">
        <f t="shared" ref="I11" si="1">IF(AND(C11=0,D11=0,E11=1),((E11/5)*F11)*G11,IF(AND(C11=0,D11=0,E11=2),((E11/5)*F11)*G11,IF(AND(C11=0,D11=0,E11=3),((E11/5)*F11)*G11,IF(AND(C11=0,D11=0,E11=4),((E11/5)*F11)*G11,IF(AND(C11=0,D11=0,E11=5),((E11/5)*F11)*G11,IF(AND(C11=1,D11=0,E11=0),(C11*G11*F11/12),IF(AND(C11=0,D11=1,E11=0),(((D11/4)/5)*F11)*G11,IF(AND(C11=0,D11=2,E11=0),(((D11/2)/5)*F11)*G11,IF(AND(C11=2,D11=0,E11=0),(C11*G11*F11/12),"condição não prevista")))))))))</f>
        <v>25.310000000000002</v>
      </c>
      <c r="K11" s="388" t="s">
        <v>282</v>
      </c>
      <c r="L11" s="224" t="s">
        <v>181</v>
      </c>
      <c r="M11" s="216">
        <f>SUMIFS(G4:G12,H4:H12,"Pisos Pavimentados adjacentes/contíguos às edificações",F4:F12,"&gt;0")</f>
        <v>1849.58</v>
      </c>
      <c r="N11" s="216">
        <f>SUMIFS(I4:I12,H4:H12,"Pisos Pavimentados adjacentes/contíguos às edificações",F4:F12,"&gt;0")</f>
        <v>1849.58</v>
      </c>
    </row>
    <row r="12" spans="1:14">
      <c r="B12" s="225"/>
      <c r="C12" s="226"/>
      <c r="D12" s="226"/>
      <c r="E12" s="226"/>
      <c r="F12" s="226"/>
      <c r="G12" s="227">
        <f>SUM(G5:G11)</f>
        <v>4583.7699999999995</v>
      </c>
      <c r="H12" s="226"/>
      <c r="I12" s="228">
        <f>SUM(I5:I11)</f>
        <v>3986.2841666666664</v>
      </c>
      <c r="K12" s="389"/>
      <c r="L12" s="224" t="s">
        <v>182</v>
      </c>
      <c r="M12" s="216">
        <f>SUMIFS(G4:G12,H4:H12,"Varrição de passeios e arruamentos",F4:F12,"&gt;0")</f>
        <v>0</v>
      </c>
      <c r="N12" s="216">
        <f>SUMIFS(I4:I12,H4:H12,"Varrição de passeios e arruamentos",F4:F12,"&gt;0")</f>
        <v>0</v>
      </c>
    </row>
    <row r="13" spans="1:14">
      <c r="K13" s="389"/>
      <c r="L13" s="224" t="s">
        <v>183</v>
      </c>
      <c r="M13" s="216">
        <f>SUMIFS(G5:G12,H5:H12,"Pátios e Áreas Verdes com Alta Frequência",F5:F12,"&gt;0")</f>
        <v>0</v>
      </c>
      <c r="N13" s="216">
        <f>SUMIFS(I4:I12,H4:H12,"Pátios e Áreas Verdes com Alta Frequência",F4:F12,"&gt;0")</f>
        <v>0</v>
      </c>
    </row>
    <row r="14" spans="1:14">
      <c r="B14" s="203"/>
      <c r="K14" s="389"/>
      <c r="L14" s="224" t="s">
        <v>184</v>
      </c>
      <c r="M14" s="216">
        <f>SUMIFS(G6:G12,H6:H12,"Pátios e Áreas Verdes com Média Frequência",F6:F12,"&gt;0")</f>
        <v>0</v>
      </c>
      <c r="N14" s="216">
        <f>SUMIFS(I4:I12,H4:H12,"Pátios e Áreas Verdes com Média Frequência",F4:F12,"&gt;0")</f>
        <v>0</v>
      </c>
    </row>
    <row r="15" spans="1:14">
      <c r="K15" s="389"/>
      <c r="L15" s="224" t="s">
        <v>185</v>
      </c>
      <c r="M15" s="216">
        <f>SUMIFS(G7:G12,H7:H12,"Pátios e Áreas Verdes com Baixa Frequência",F7:F12,"&gt;0")</f>
        <v>0</v>
      </c>
      <c r="N15" s="216">
        <f>SUMIFS(I4:I12,H4:H12,"Pátios e Áreas Verdes com Baixa Frequência",F4:F12,"&gt;0")</f>
        <v>0</v>
      </c>
    </row>
    <row r="16" spans="1:14" ht="28.8">
      <c r="K16" s="390"/>
      <c r="L16" s="224" t="s">
        <v>186</v>
      </c>
      <c r="M16" s="216">
        <f>SUMIFS(G4:G12,H4:H12,"Coleta de Detritos em Pátios e Áreas Verdes com Frequência Diária",F4:F12,"&gt;0")</f>
        <v>0</v>
      </c>
      <c r="N16" s="216">
        <f>SUMIFS(I4:I12,H4:H12,"Coleta de Detritos em Pátios e Áreas Verdes com Frequência Diária",F4:F12,"&gt;0")</f>
        <v>0</v>
      </c>
    </row>
    <row r="17" spans="11:14">
      <c r="K17" s="388" t="s">
        <v>283</v>
      </c>
      <c r="L17" s="215" t="s">
        <v>281</v>
      </c>
      <c r="M17" s="216">
        <f>SUMIFS(G4:G12,H4:H12,"Face Externa com Exposição a Situação de Risco",F4:F12,"&gt;0")</f>
        <v>303.72000000000003</v>
      </c>
      <c r="N17" s="216">
        <f>SUMIFS(I4:I12,H4:H12,"Face Externa com Exposição a Situação de Risco",F4:F12,"&gt;0")</f>
        <v>25.310000000000002</v>
      </c>
    </row>
    <row r="18" spans="11:14">
      <c r="K18" s="389"/>
      <c r="L18" s="215" t="s">
        <v>279</v>
      </c>
      <c r="M18" s="216">
        <f>SUMIFS(G4:G12,H4:H12,"Face Externa sem Exposição a Situação de Risco",F4:F12,"&gt;0")</f>
        <v>368.44</v>
      </c>
      <c r="N18" s="216">
        <f>SUMIFS(I4:I12,H4:H12,"Face Externa sem Exposição a Situação de Risco",F4:F12,"&gt;0")</f>
        <v>30.703333333333333</v>
      </c>
    </row>
    <row r="19" spans="11:14">
      <c r="K19" s="390"/>
      <c r="L19" s="215" t="s">
        <v>275</v>
      </c>
      <c r="M19" s="216">
        <f>SUMIFS(G4:G12,H4:H12,"Face Interna",F4:F12,"&gt;0")</f>
        <v>139.44999999999999</v>
      </c>
      <c r="N19" s="216">
        <f>SUMIFS(I4:I12,H4:H12,"Face Interna",F4:F12,"&gt;0")</f>
        <v>11.620833333333332</v>
      </c>
    </row>
    <row r="20" spans="11:14" ht="28.8">
      <c r="K20" s="215" t="s">
        <v>172</v>
      </c>
      <c r="L20" s="215" t="s">
        <v>284</v>
      </c>
      <c r="M20" s="216">
        <f>SUMIFS(G4:G12,H4:H12,"Fachadas Envidraçadas",F4:F12,"&gt;0")</f>
        <v>0</v>
      </c>
      <c r="N20" s="216">
        <f>SUMIFS(I4:I12,H4:H12,"Fachadas Envidraçadas",F4:F12,"&gt;0")</f>
        <v>0</v>
      </c>
    </row>
    <row r="21" spans="11:14" ht="72">
      <c r="K21" s="215" t="s">
        <v>285</v>
      </c>
      <c r="L21" s="215" t="s">
        <v>285</v>
      </c>
      <c r="M21" s="216">
        <f>SUMIFS(G4:G12,H4:H12,"Área hospitalar",F4:F12,"&gt;0")</f>
        <v>0</v>
      </c>
      <c r="N21" s="216">
        <f>SUMIFS(I4:I12,H4:H12,"Área Hospitalar",F4:F12,"&gt;0")</f>
        <v>0</v>
      </c>
    </row>
  </sheetData>
  <autoFilter ref="H4:H12" xr:uid="{00000000-0009-0000-0000-000008000000}"/>
  <mergeCells count="5">
    <mergeCell ref="B1:M1"/>
    <mergeCell ref="C2:F2"/>
    <mergeCell ref="K4:K10"/>
    <mergeCell ref="K11:K16"/>
    <mergeCell ref="K17:K19"/>
  </mergeCells>
  <printOptions horizontalCentered="1"/>
  <pageMargins left="0.25" right="0.25" top="0.75" bottom="0.75" header="0" footer="0"/>
  <pageSetup paperSize="9" scale="70" orientation="landscape" r:id="rId1"/>
  <headerFooter>
    <oddHeader>&amp;R &amp;F &amp;A</oddHeader>
    <oddFooter>&amp;C&amp;P/&amp;RGestão Formal de Contratos (visto)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RESUMO</vt:lpstr>
      <vt:lpstr>Custos por posto</vt:lpstr>
      <vt:lpstr>Cálculo custoM²</vt:lpstr>
      <vt:lpstr>EQU</vt:lpstr>
      <vt:lpstr>UNI.EPI</vt:lpstr>
      <vt:lpstr>MAT</vt:lpstr>
      <vt:lpstr>UTE</vt:lpstr>
      <vt:lpstr>Locais</vt:lpstr>
      <vt:lpstr>'Cálculo custoM²'!Area_de_impressao</vt:lpstr>
      <vt:lpstr>'Custos por posto'!Area_de_impressao</vt:lpstr>
      <vt:lpstr>EQU!Area_de_impressao</vt:lpstr>
      <vt:lpstr>Locais!Area_de_impressao</vt:lpstr>
      <vt:lpstr>MAT!Area_de_impressao</vt:lpstr>
      <vt:lpstr>RESUMO!Area_de_impressao</vt:lpstr>
      <vt:lpstr>UNI.EPI!Area_de_impressao</vt:lpstr>
      <vt:lpstr>UTE!Area_de_impressao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Joseane Salles Valero</dc:creator>
  <cp:lastModifiedBy>Ambiente de Trabalho</cp:lastModifiedBy>
  <cp:lastPrinted>2025-07-16T17:25:38Z</cp:lastPrinted>
  <dcterms:created xsi:type="dcterms:W3CDTF">2016-06-22T19:00:36Z</dcterms:created>
  <dcterms:modified xsi:type="dcterms:W3CDTF">2025-07-16T17:41:52Z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UFSC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